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donyang/Desktop/大学/WAX/"/>
    </mc:Choice>
  </mc:AlternateContent>
  <xr:revisionPtr revIDLastSave="0" documentId="8_{C5F22B3F-190B-E345-B490-AE840387CE47}" xr6:coauthVersionLast="47" xr6:coauthVersionMax="47" xr10:uidLastSave="{00000000-0000-0000-0000-000000000000}"/>
  <bookViews>
    <workbookView xWindow="0" yWindow="680" windowWidth="29040" windowHeight="16920" activeTab="8" xr2:uid="{00000000-000D-0000-FFFF-FFFF00000000}"/>
  </bookViews>
  <sheets>
    <sheet name="Cover" sheetId="36" r:id="rId1"/>
    <sheet name="Drivers&gt;&gt;" sheetId="1" r:id="rId2"/>
    <sheet name="FCF &amp; Valuation" sheetId="3" r:id="rId3"/>
    <sheet name="Revenue Build" sheetId="30" r:id="rId4"/>
    <sheet name="Costs &amp; Expenses Build" sheetId="2" r:id="rId5"/>
    <sheet name="WACC Build" sheetId="34" r:id="rId6"/>
    <sheet name="Comps" sheetId="35" r:id="rId7"/>
    <sheet name="Financial Statements &gt;&gt;" sheetId="4" r:id="rId8"/>
    <sheet name="Income Statement + Forecast" sheetId="31" r:id="rId9"/>
    <sheet name="Cash Flow Statement" sheetId="33" r:id="rId10"/>
    <sheet name="Balance Sheet" sheetId="32" r:id="rId11"/>
    <sheet name="CFS" sheetId="5" state="hidden" r:id="rId12"/>
    <sheet name="IS" sheetId="6" state="hidden" r:id="rId13"/>
    <sheet name="BS" sheetId="7" state="hidden" r:id="rId14"/>
    <sheet name="Brinks Home Security" sheetId="26" state="hidden" r:id="rId15"/>
  </sheets>
  <externalReferences>
    <externalReference r:id="rId16"/>
    <externalReference r:id="rId17"/>
    <externalReference r:id="rId18"/>
  </externalReferences>
  <definedNames>
    <definedName name="AA.AlternatePriceSourceStartPeriod">"Q1-2018"</definedName>
    <definedName name="AA.ColorizerVersion">"2.0.4.0"</definedName>
    <definedName name="AA.CompareQuarters.LatestMRQ">"Q1-2019"</definedName>
    <definedName name="AA.CSIN">"3PODK70133"</definedName>
    <definedName name="AA.DBMacroVersion">"1.0.13.0"</definedName>
    <definedName name="AA.FRC.LatestRunOnModelVersion">"FY2018.20"</definedName>
    <definedName name="AA.FreeCashFlow">"TRUE"</definedName>
    <definedName name="AA.HardcodeChecker.LatestMRQ">"Q3-2019"</definedName>
    <definedName name="AA.ModelChecks.LatestMRQ">"FY2021"</definedName>
    <definedName name="AA.ModelChecks.LatestVersionNumber">"2.42.15.0"</definedName>
    <definedName name="AA.ModelColorScheme">"Classic"</definedName>
    <definedName name="AA.ModelVersion">"FY2022.26"</definedName>
    <definedName name="AA.PartialUpdate.BsAvailable">"TRUE"</definedName>
    <definedName name="AA.PartialUpdate.CfsAvailable">"TRUE"</definedName>
    <definedName name="AA.PartialUpdate.IsAvailable">"TRUE"</definedName>
    <definedName name="AA.PeriodLayout">"QFY"</definedName>
    <definedName name="AA.PersonalMacro.VersionNumber">"1.5.1.5"</definedName>
    <definedName name="AA.RowNameEnforcerVersion">"1.0.0.0"</definedName>
    <definedName name="AA.SessionToUploadId">""</definedName>
    <definedName name="AA.StartWorkModelVersion">"FY2022.23"</definedName>
    <definedName name="AA.StartWorkType">""</definedName>
    <definedName name="AA.SubyearType">"Q"</definedName>
    <definedName name="AA.TemplateUpgradeAttempted">"TRUE"</definedName>
    <definedName name="AA.TemplateVersion">"7.4.4.0"</definedName>
    <definedName name="AA.UpdateType">"Regular"</definedName>
    <definedName name="CIRC">Cover!#REF!</definedName>
    <definedName name="CIRC2">Cover!#REF!</definedName>
    <definedName name="FP.DataSourceName">'[1]Front Page'!$H$15</definedName>
    <definedName name="FP.LastPrice">'[1]Front Page'!$H$20</definedName>
    <definedName name="FP.LastPriceDate">'[1]Front Page'!$F$20</definedName>
    <definedName name="FP.RealTimeToggle">'[1]Front Page'!$H$18</definedName>
    <definedName name="HP.MRFX">#REF!</definedName>
    <definedName name="HP.ReportCurrency">#REF!</definedName>
    <definedName name="HP.Ticker">#REF!</definedName>
    <definedName name="HP.TradeCurrency">#REF!</definedName>
    <definedName name="HP.TradeCurrency.HardCoded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">'[2]Transaction Assumptions'!$J$20</definedName>
    <definedName name="MO_AN_DA">#REF!</definedName>
    <definedName name="MO_AN_EBITDA_Adj">#REF!</definedName>
    <definedName name="MO_AN_NI_NONGAAP_Diluted">#REF!</definedName>
    <definedName name="MO_AN_SBC">#REF!</definedName>
    <definedName name="MO_BS_AccComp_Current">#REF!</definedName>
    <definedName name="MO_BS_APandAE">#REF!</definedName>
    <definedName name="MO_BS_AR">#REF!</definedName>
    <definedName name="MO_BS_CA">#REF!</definedName>
    <definedName name="MO_BS_Cash">#REF!</definedName>
    <definedName name="MO_BS_CL">#REF!</definedName>
    <definedName name="MO_BS_CommonStock">#REF!</definedName>
    <definedName name="MO_BS_ContributedSurplus">#REF!</definedName>
    <definedName name="MO_BS_DefRev">#REF!</definedName>
    <definedName name="MO_BS_DefRev_Current">#REF!</definedName>
    <definedName name="MO_BS_DefRev_NonCurrent">#REF!</definedName>
    <definedName name="MO_BS_Goodwill">#REF!</definedName>
    <definedName name="MO_BS_Intangibles">#REF!</definedName>
    <definedName name="MO_BS_INV">#REF!</definedName>
    <definedName name="MO_BS_LTInvestments">#REF!</definedName>
    <definedName name="MO_BS_NCA">#REF!</definedName>
    <definedName name="MO_BS_NCI">#REF!</definedName>
    <definedName name="MO_BS_NCL">#REF!</definedName>
    <definedName name="MO_BS_OCI">#REF!</definedName>
    <definedName name="MO_BS_OL_Current">#REF!</definedName>
    <definedName name="MO_BS_OL_NonCurrent">#REF!</definedName>
    <definedName name="MO_BS_PPE">#REF!</definedName>
    <definedName name="MO_BS_RestrictedCash_Current">#REF!</definedName>
    <definedName name="MO_BS_RetainedEarnings">#REF!</definedName>
    <definedName name="MO_BS_ROU">#REF!</definedName>
    <definedName name="MO_BS_SE">#REF!</definedName>
    <definedName name="MO_BS_TA">#REF!</definedName>
    <definedName name="MO_BS_TaxAssets_Deferred_Current">#REF!</definedName>
    <definedName name="MO_BS_TaxAssets_Deferred_NonCurrent">#REF!</definedName>
    <definedName name="MO_BS_TaxLiabilities_Deferred_Current">#REF!</definedName>
    <definedName name="MO_BS_TL">#REF!</definedName>
    <definedName name="MO_BS_TLSE">#REF!</definedName>
    <definedName name="MO_BS_TreasuryStock">#REF!</definedName>
    <definedName name="MO_BSS_Cash">#REF!</definedName>
    <definedName name="MO_BSS_Debt">#REF!</definedName>
    <definedName name="MO_BSS_Debt_LT">#REF!</definedName>
    <definedName name="MO_BSS_Debt_Net">#REF!</definedName>
    <definedName name="MO_BSS_Debt_ST">#REF!</definedName>
    <definedName name="MO_BSS_Debt_ToCF">#REF!</definedName>
    <definedName name="MO_BSS_Debt_ToEBITDA">#REF!</definedName>
    <definedName name="MO_BSS_IE">#REF!</definedName>
    <definedName name="MO_BSS_IE_Net">#REF!</definedName>
    <definedName name="MO_BSS_II">#REF!</definedName>
    <definedName name="MO_BSS_InterestRate_Cash">#REF!</definedName>
    <definedName name="MO_BSS_InterestRate_Debt">#REF!</definedName>
    <definedName name="MO_BSS_NetInterestCoverage">#REF!</definedName>
    <definedName name="MO_BSS_NetInterestRate_Debt">#REF!</definedName>
    <definedName name="MO_BSS_OL">#REF!</definedName>
    <definedName name="MO_CCFS_Balance_Begin">#REF!</definedName>
    <definedName name="MO_CCFS_Balance_End">#REF!</definedName>
    <definedName name="MO_CCFS_CFF">#REF!</definedName>
    <definedName name="MO_CCFS_CFI">#REF!</definedName>
    <definedName name="MO_CCFS_CFO">#REF!</definedName>
    <definedName name="MO_CCFS_CFO_BeforeWC">#REF!</definedName>
    <definedName name="MO_CCFS_FX">#REF!</definedName>
    <definedName name="MO_CCFS_NetChange">#REF!</definedName>
    <definedName name="MO_CCFS_Sup_CashInterest">#REF!</definedName>
    <definedName name="MO_CCFS_Sup_CashTax">#REF!</definedName>
    <definedName name="MO_CFS_Balance_Begin">#REF!</definedName>
    <definedName name="MO_CFS_Balance_End">#REF!</definedName>
    <definedName name="MO_CFS_Buyback">#REF!</definedName>
    <definedName name="MO_CFS_CFF">#REF!</definedName>
    <definedName name="MO_CFS_CFI">#REF!</definedName>
    <definedName name="MO_CFS_CFO">#REF!</definedName>
    <definedName name="MO_CFS_CFO_BeforeWC">#REF!</definedName>
    <definedName name="MO_CFS_DA">#REF!</definedName>
    <definedName name="MO_CFS_DeferredTax">#REF!</definedName>
    <definedName name="MO_CFS_Dividend_Common">#REF!</definedName>
    <definedName name="MO_CFS_Dividend_Prefs">#REF!</definedName>
    <definedName name="MO_CFS_FX">#REF!</definedName>
    <definedName name="MO_CFS_Impairment">#REF!</definedName>
    <definedName name="MO_CFS_NetChange">#REF!</definedName>
    <definedName name="MO_CFS_NI">#REF!</definedName>
    <definedName name="MO_CFS_SBC">#REF!</definedName>
    <definedName name="MO_CFS_Sup_CashInterest">#REF!</definedName>
    <definedName name="MO_CFS_Sup_CashTax">#REF!</definedName>
    <definedName name="MO_CFS_WC_APandAE">#REF!</definedName>
    <definedName name="MO_CFS_WC_AR">#REF!</definedName>
    <definedName name="MO_CFS_WC_DefRev">#REF!</definedName>
    <definedName name="MO_CFS_WC_INV">#REF!</definedName>
    <definedName name="MO_CFS_WC_OL">#REF!</definedName>
    <definedName name="MO_CFSum_Acquisition">#REF!</definedName>
    <definedName name="MO_CFSum_Capex">#REF!</definedName>
    <definedName name="MO_CFSum_CFO">#REF!</definedName>
    <definedName name="MO_CFSum_CFO_BeforeWC">#REF!</definedName>
    <definedName name="MO_CFSum_CFOPS">#REF!</definedName>
    <definedName name="MO_CFSum_CFOPS_BeforeWC">#REF!</definedName>
    <definedName name="MO_CFSum_CFPS">#REF!</definedName>
    <definedName name="MO_CFSum_ChangeInWC">#REF!</definedName>
    <definedName name="MO_CFSum_Divestiture">#REF!</definedName>
    <definedName name="MO_CFSum_Dividend">#REF!</definedName>
    <definedName name="MO_CFSum_DPS">#REF!</definedName>
    <definedName name="MO_CFSum_FCF_PostDivPostAD">#REF!</definedName>
    <definedName name="MO_CFSum_FCF_PostDivPostADPostDebtPostBuyback">#REF!</definedName>
    <definedName name="MO_CFSum_FCF_PostDivPreAD">#REF!</definedName>
    <definedName name="MO_CFSum_FCF_PostWCPostDivPostAD">#REF!</definedName>
    <definedName name="MO_CFSum_FCF_PostWCPostDivPostADPostDebtPostBuyback">#REF!</definedName>
    <definedName name="MO_CFSum_FCF_PostWCPostDivPreAD">#REF!</definedName>
    <definedName name="MO_CFSum_FCF_PostWCPreDiv">#REF!</definedName>
    <definedName name="MO_CFSum_FCF_PreDiv">#REF!</definedName>
    <definedName name="MO_CFSum_NetDebtIssuance">#REF!</definedName>
    <definedName name="MO_CFSum_NetShares">#REF!</definedName>
    <definedName name="MO_CFSum_NetShares_Price">#REF!</definedName>
    <definedName name="MO_Checks_Bottom">#REF!</definedName>
    <definedName name="MO_Checks_BS">#REF!</definedName>
    <definedName name="MO_Checks_CF">#REF!</definedName>
    <definedName name="MO_Checks_IS">#REF!</definedName>
    <definedName name="MO_Common_Column_A">#REF!</definedName>
    <definedName name="MO_Common_Column_B">#REF!</definedName>
    <definedName name="MO_Common_ColumnHeader">#REF!</definedName>
    <definedName name="MO_Common_CompanySubtitle">#REF!</definedName>
    <definedName name="MO_Common_CompanyTitle">#REF!</definedName>
    <definedName name="MO_Common_FPDays">#REF!</definedName>
    <definedName name="MO_Common_QEndDate">#REF!</definedName>
    <definedName name="MO_Common_QEndDate_LWD">#REF!</definedName>
    <definedName name="MO_DAF_A">#REF!</definedName>
    <definedName name="MO_DAF_A_Percentage">#REF!</definedName>
    <definedName name="MO_DAF_Capex">#REF!</definedName>
    <definedName name="MO_DAF_D">#REF!</definedName>
    <definedName name="MO_DAF_D_Percentage">#REF!</definedName>
    <definedName name="MO_DAF_DA">#REF!</definedName>
    <definedName name="MO_DAF_Intangibles_BoP">#REF!</definedName>
    <definedName name="MO_DAF_Intangibles_Capex">#REF!</definedName>
    <definedName name="MO_DAF_Intangibles_Capex_Percent">#REF!</definedName>
    <definedName name="MO_DAF_Intangibles_EoP">#REF!</definedName>
    <definedName name="MO_DAF_Intangibles_Life">#REF!</definedName>
    <definedName name="MO_DAF_Intangibles_Other">#REF!</definedName>
    <definedName name="MO_DAF_PPE_BoP">#REF!</definedName>
    <definedName name="MO_DAF_PPE_Capex">#REF!</definedName>
    <definedName name="MO_DAF_PPE_EoP">#REF!</definedName>
    <definedName name="MO_DAF_PPE_Life">#REF!</definedName>
    <definedName name="MO_DAF_PPE_Other">#REF!</definedName>
    <definedName name="MO_GA_TotalRevenue">#REF!</definedName>
    <definedName name="MO_IS_COGS">#REF!</definedName>
    <definedName name="MO_IS_DA">#REF!</definedName>
    <definedName name="MO_IS_Dividend_Prefs">#REF!</definedName>
    <definedName name="MO_IS_EBIT">#REF!</definedName>
    <definedName name="MO_IS_EBT">#REF!</definedName>
    <definedName name="MO_IS_FirstRow">#REF!</definedName>
    <definedName name="MO_IS_GA">#REF!</definedName>
    <definedName name="MO_IS_IE">#REF!</definedName>
    <definedName name="MO_IS_II">#REF!</definedName>
    <definedName name="MO_IS_NCI">#REF!</definedName>
    <definedName name="MO_IS_NI_ContinOp">#REF!</definedName>
    <definedName name="MO_IS_OPEX">#REF!</definedName>
    <definedName name="MO_IS_RD">#REF!</definedName>
    <definedName name="MO_IS_REV">#REF!</definedName>
    <definedName name="MO_IS_SM">#REF!</definedName>
    <definedName name="MO_IS_Tax">#REF!</definedName>
    <definedName name="MO_KPI_ARR_Implied">#REF!</definedName>
    <definedName name="MO_KPI_Billings_Calc">#REF!</definedName>
    <definedName name="MO_KPI_Billings_Growth_Calc">#REF!</definedName>
    <definedName name="MO_KPI_CAC">#REF!</definedName>
    <definedName name="MO_KPI_CAC_Payback_Implied">#REF!</definedName>
    <definedName name="MO_KPI_ContributionMargin">#REF!</definedName>
    <definedName name="MO_KPI_CustomerCount_EoP">#REF!</definedName>
    <definedName name="MO_KPI_FCF">#REF!</definedName>
    <definedName name="MO_KPI_FCF_LTM">#REF!</definedName>
    <definedName name="MO_KPI_FCF_Margin">#REF!</definedName>
    <definedName name="MO_KPI_GrossRetentionRate">#REF!</definedName>
    <definedName name="MO_KPI_MagicNumber_Implied">#REF!</definedName>
    <definedName name="MO_KPI_NetNewARR_Implied">#REF!</definedName>
    <definedName name="MO_KPI_REV_LTM">#REF!</definedName>
    <definedName name="MO_KPI_REV_LTM_Growth">#REF!</definedName>
    <definedName name="MO_KPI_RuleOf40">#REF!</definedName>
    <definedName name="MO_MA_COGS_Adj">#REF!</definedName>
    <definedName name="MO_MA_EBITDA">#REF!</definedName>
    <definedName name="MO_MA_EBITDA_Adj">#REF!</definedName>
    <definedName name="MO_MA_GA">#REF!</definedName>
    <definedName name="MO_MA_GA_Adj">#REF!</definedName>
    <definedName name="MO_MA_GM">#REF!</definedName>
    <definedName name="MO_MA_GM_Adj">#REF!</definedName>
    <definedName name="MO_MA_RD">#REF!</definedName>
    <definedName name="MO_MA_RD_Adj">#REF!</definedName>
    <definedName name="MO_MA_SM">#REF!</definedName>
    <definedName name="MO_MA_SM_Adj">#REF!</definedName>
    <definedName name="MO_OS_ARR_Implied">#REF!</definedName>
    <definedName name="MO_OS_Billings_Calc">#REF!</definedName>
    <definedName name="MO_OS_Billings_Growth_Calc">#REF!</definedName>
    <definedName name="MO_OS_CAC">#REF!</definedName>
    <definedName name="MO_OS_CAC_Payback_Implied">#REF!</definedName>
    <definedName name="MO_OS_COGS_SubscriptionandLicense">#REF!</definedName>
    <definedName name="MO_OS_ContributionMargin">#REF!</definedName>
    <definedName name="MO_OS_CustomerCount_EoP">#REF!</definedName>
    <definedName name="MO_OS_EmployeeCount">#REF!</definedName>
    <definedName name="MO_OS_FCF">#REF!</definedName>
    <definedName name="MO_OS_FCF_LTM">#REF!</definedName>
    <definedName name="MO_OS_FCF_Margin">#REF!</definedName>
    <definedName name="MO_OS_GP_SubscriptionandLicense">#REF!</definedName>
    <definedName name="MO_OS_GrossRetentionRate">#REF!</definedName>
    <definedName name="MO_OS_MagicNumber_Implied">#REF!</definedName>
    <definedName name="MO_OS_NetNewARR_Implied">#REF!</definedName>
    <definedName name="MO_OS_REV_LTM">#REF!</definedName>
    <definedName name="MO_OS_REV_LTM_Growth">#REF!</definedName>
    <definedName name="MO_OS_RuleOf40">#REF!</definedName>
    <definedName name="MO_RIS_Adjustments_Dilution_GAAP">#REF!</definedName>
    <definedName name="MO_RIS_Adjustments_Dilution_NONGAAP">#REF!</definedName>
    <definedName name="MO_RIS_Adjustments_NONGAAP">#REF!</definedName>
    <definedName name="MO_RIS_COGS">#REF!</definedName>
    <definedName name="MO_RIS_DA">#REF!</definedName>
    <definedName name="MO_RIS_DAintangibles">#REF!</definedName>
    <definedName name="MO_RIS_DisCont">#REF!</definedName>
    <definedName name="MO_RIS_Dividend_Prefs">#REF!</definedName>
    <definedName name="MO_RIS_EBIT">#REF!</definedName>
    <definedName name="MO_RIS_EBITDA">#REF!</definedName>
    <definedName name="MO_RIS_EBITDA_Adj">#REF!</definedName>
    <definedName name="MO_RIS_EBT">#REF!</definedName>
    <definedName name="MO_RIS_EPS_WAB">#REF!</definedName>
    <definedName name="MO_RIS_EPS_WAD">#REF!</definedName>
    <definedName name="MO_RIS_EPS_WAD_Adj">#REF!</definedName>
    <definedName name="MO_RIS_GA">#REF!</definedName>
    <definedName name="MO_RIS_GP">#REF!</definedName>
    <definedName name="MO_RIS_IE">#REF!</definedName>
    <definedName name="MO_RIS_II">#REF!</definedName>
    <definedName name="MO_RIS_NCI">#REF!</definedName>
    <definedName name="MO_RIS_NI_ContinOp">#REF!</definedName>
    <definedName name="MO_RIS_NI_GAAP_Basic">#REF!</definedName>
    <definedName name="MO_RIS_NI_GAAP_Diluted">#REF!</definedName>
    <definedName name="MO_RIS_NI_NONGAAP_Diluted">#REF!</definedName>
    <definedName name="MO_RIS_OI">#REF!</definedName>
    <definedName name="MO_RIS_OTI">#REF!</definedName>
    <definedName name="MO_RIS_RD">#REF!</definedName>
    <definedName name="MO_RIS_REV">#REF!</definedName>
    <definedName name="MO_RIS_SBC">#REF!</definedName>
    <definedName name="MO_RIS_ShareCount_WAB">#REF!</definedName>
    <definedName name="MO_RIS_ShareCount_WAD">#REF!</definedName>
    <definedName name="MO_RIS_ShareCount_WAD_Adj">#REF!</definedName>
    <definedName name="MO_RIS_SM">#REF!</definedName>
    <definedName name="MO_RIS_Tax_Current">#REF!</definedName>
    <definedName name="MO_RIS_Tax_Deferred">#REF!</definedName>
    <definedName name="MO_RIS_TaxRate_Current">#REF!</definedName>
    <definedName name="MO_RIS_TaxRate_Deferred">#REF!</definedName>
    <definedName name="MO_SCA_Date_CoverPage">#REF!</definedName>
    <definedName name="MO_SCA_ShareCount_CoverPage">#REF!</definedName>
    <definedName name="MO_SCA_ShareCount_CoverPage_Class1">#REF!</definedName>
    <definedName name="MO_SCA_ShareCount_CoverPage_Ticker1">#REF!</definedName>
    <definedName name="MO_SCA_ShareCount_EoP">#REF!</definedName>
    <definedName name="MO_SCA_ShareCount_EoP_Class1">#REF!</definedName>
    <definedName name="MO_SCA_ShareCount_EoP_Ticker1">#REF!</definedName>
    <definedName name="MO_Section_AdjustedNumbers">#REF!</definedName>
    <definedName name="MO_Section_BalanceSheet">#REF!</definedName>
    <definedName name="MO_Section_BalanceSheetSummary">#REF!</definedName>
    <definedName name="MO_Section_CashFlowStatement">#REF!</definedName>
    <definedName name="MO_Section_CashFlowSummary">#REF!</definedName>
    <definedName name="MO_Section_CumulativeCashFlowStatement">#REF!</definedName>
    <definedName name="MO_Section_DAForecasting">#REF!</definedName>
    <definedName name="MO_Section_GrowthAnalysis">#REF!</definedName>
    <definedName name="MO_Section_IncomeStatement">#REF!</definedName>
    <definedName name="MO_Section_KeyMetricsEmployeeCountsFS">#REF!</definedName>
    <definedName name="MO_Section_KeyMetricsMajorCustomerswithRevenuesFS">#REF!</definedName>
    <definedName name="MO_Section_KeyMetricsRenewalRateMDA">#REF!</definedName>
    <definedName name="MO_Section_KeyMetricsSaaSMetrics">#REF!</definedName>
    <definedName name="MO_Section_KeyMetricsSubscribersandARPUIP">#REF!</definedName>
    <definedName name="MO_Section_KeyMetricsYYCostGranularity">#REF!</definedName>
    <definedName name="MO_Section_LastRow">#REF!</definedName>
    <definedName name="MO_Section_MarginAnalysis">#REF!</definedName>
    <definedName name="MO_Section_ModelChecks">#REF!</definedName>
    <definedName name="MO_Section_RevisedIncomeStatement">#REF!</definedName>
    <definedName name="MO_Section_SegmentedResultsCostsBreakdownMDA">#REF!</definedName>
    <definedName name="MO_Section_SegmentedResultsRevenueBreakdownfromReportableSegmentsMDA">#REF!</definedName>
    <definedName name="MO_Section_SegmentedResultsRevenueBreakdownMDA">#REF!</definedName>
    <definedName name="MO_Section_ShareCountAnalysis">#REF!</definedName>
    <definedName name="MO_Section_Tables">#REF!</definedName>
    <definedName name="MO_Section_Valuation">#REF!</definedName>
    <definedName name="MO_Section_WorkingCapitalForecasting">#REF!</definedName>
    <definedName name="MO_SNA_ConsensusEstimatePeriodNumber">#REF!</definedName>
    <definedName name="MO_SNA_ConsensusEstimatePeriodType">#REF!</definedName>
    <definedName name="MO_SNA_FPStartDate">#REF!</definedName>
    <definedName name="MO_SNA_IsHistoricalPeriod">#REF!</definedName>
    <definedName name="MO_SNA_LastDataRow">#REF!</definedName>
    <definedName name="MO_SPT_FXAverage">#REF!</definedName>
    <definedName name="MO_SPT_FXAverage_Sources">#REF!</definedName>
    <definedName name="MO_SPT_FXAverage_Sources_Bloomberg">#REF!</definedName>
    <definedName name="MO_SPT_FXAverage_Sources_CapIQ">#REF!</definedName>
    <definedName name="MO_SPT_FXAverage_Sources_FactSet">#REF!</definedName>
    <definedName name="MO_SPT_FXAverage_Sources_RealTimeOff">#REF!</definedName>
    <definedName name="MO_SPT_FXAverage_Sources_Thomson">#REF!</definedName>
    <definedName name="MO_SPT_FXEoP">#REF!</definedName>
    <definedName name="MO_SPT_StockAverage">#REF!</definedName>
    <definedName name="MO_SPT_StockAverage_Sources">#REF!</definedName>
    <definedName name="MO_SPT_StockAverage_Sources_Bloomberg">#REF!</definedName>
    <definedName name="MO_SPT_StockAverage_Sources_CapIQ">#REF!</definedName>
    <definedName name="MO_SPT_StockAverage_Sources_FactSet">#REF!</definedName>
    <definedName name="MO_SPT_StockAverage_Sources_RealTimeOff">#REF!</definedName>
    <definedName name="MO_SPT_StockAverage_Sources_Thomson">#REF!</definedName>
    <definedName name="MO_SPT_StockEoP">#REF!</definedName>
    <definedName name="MO_SPT_StockHigh">#REF!</definedName>
    <definedName name="MO_SPT_StockHigh_Sources">#REF!</definedName>
    <definedName name="MO_SPT_StockHigh_Sources_Bloomberg">#REF!</definedName>
    <definedName name="MO_SPT_StockHigh_Sources_CapIQ">#REF!</definedName>
    <definedName name="MO_SPT_StockHigh_Sources_FactSet">#REF!</definedName>
    <definedName name="MO_SPT_StockHigh_Sources_RealTimeOff">#REF!</definedName>
    <definedName name="MO_SPT_StockHigh_Sources_Thomson">#REF!</definedName>
    <definedName name="MO_SPT_StockLow">#REF!</definedName>
    <definedName name="MO_SPT_StockLow_Sources">#REF!</definedName>
    <definedName name="MO_SPT_StockLow_Sources_Bloomberg">#REF!</definedName>
    <definedName name="MO_SPT_StockLow_Sources_CapIQ">#REF!</definedName>
    <definedName name="MO_SPT_StockLow_Sources_FactSet">#REF!</definedName>
    <definedName name="MO_SPT_StockLow_Sources_RealTimeOff">#REF!</definedName>
    <definedName name="MO_SPT_StockLow_Sources_Thomson">#REF!</definedName>
    <definedName name="MO_SubSection_BS_CA">#REF!</definedName>
    <definedName name="MO_SubSection_BS_CL">#REF!</definedName>
    <definedName name="MO_SubSection_BS_NCA">#REF!</definedName>
    <definedName name="MO_SubSection_BS_NCL">#REF!</definedName>
    <definedName name="MO_SubSection_BS_SE">#REF!</definedName>
    <definedName name="MO_SubSection_CCFS_CFF">#REF!</definedName>
    <definedName name="MO_SubSection_CCFS_CFI">#REF!</definedName>
    <definedName name="MO_SubSection_CCFS_CFO">#REF!</definedName>
    <definedName name="MO_SubSection_CFS_CFF">#REF!</definedName>
    <definedName name="MO_SubSection_CFS_CFI">#REF!</definedName>
    <definedName name="MO_SubSection_CFS_CFO">#REF!</definedName>
    <definedName name="MO_VA_EV">#REF!</definedName>
    <definedName name="MO_VA_EV_ToEBITDA">#REF!</definedName>
    <definedName name="MO_VA_EVCalc_NCI">#REF!</definedName>
    <definedName name="MO_VA_EVCalc_Other">#REF!</definedName>
    <definedName name="MO_VA_EVCalc_Prefs">#REF!</definedName>
    <definedName name="MO_VA_FCFYield_ToEV">#REF!</definedName>
    <definedName name="MO_VA_FCFYield_ToMktCap">#REF!</definedName>
    <definedName name="MO_VA_FX_Average">#REF!</definedName>
    <definedName name="MO_VA_FX_EoP">#REF!</definedName>
    <definedName name="MO_VA_MarketCap">#REF!</definedName>
    <definedName name="MO_VA_P_ToCF">#REF!</definedName>
    <definedName name="MO_VA_P_ToE">#REF!</definedName>
    <definedName name="MO_VA_StockPrice">#REF!</definedName>
    <definedName name="MO_VA_StockPrice_Avg">#REF!</definedName>
    <definedName name="MO_VA_StockPrice_EoP">#REF!</definedName>
    <definedName name="MO_VA_StockPrice_High">#REF!</definedName>
    <definedName name="MO_VA_StockPrice_Low">#REF!</definedName>
    <definedName name="MO_VA_StockPrice_TradingCurrency">#REF!</definedName>
    <definedName name="MO_WCF_AP_Margin">#REF!</definedName>
    <definedName name="MO_WCF_AP_Margin_Change">#REF!</definedName>
    <definedName name="MO_WCF_AR_Margin">#REF!</definedName>
    <definedName name="MO_WCF_AR_Margin_Change">#REF!</definedName>
    <definedName name="MO.CFY">#REF!</definedName>
    <definedName name="MO.CompanyName">#REF!</definedName>
    <definedName name="MO.DataSourceIndex">#REF!</definedName>
    <definedName name="MO.DataSourceName">#REF!</definedName>
    <definedName name="MO.FirstForecastedFiscalYear">#REF!</definedName>
    <definedName name="MO.LastPrice">#REF!</definedName>
    <definedName name="MO.LastPriceDate">#REF!</definedName>
    <definedName name="MO.LastPriceFormula">#REF!</definedName>
    <definedName name="MO.LastPriceHardcoded">#REF!</definedName>
    <definedName name="MO.MRFP">#REF!</definedName>
    <definedName name="MO.MRFPColumnNumber">#REF!</definedName>
    <definedName name="MO.MRFX.Hardcoded">#REF!</definedName>
    <definedName name="MO.RealTime">#REF!</definedName>
    <definedName name="MO.RealTimeStockPriceToggle">#REF!</definedName>
    <definedName name="MO.ReportCurrency">#REF!</definedName>
    <definedName name="MO.ReportFX">#REF!</definedName>
    <definedName name="MO.Ticker">#REF!</definedName>
    <definedName name="MO.Ticker.Bloomberg">#REF!</definedName>
    <definedName name="MO.Ticker.Canalyst">#REF!</definedName>
    <definedName name="MO.Ticker.CapIQ">#REF!</definedName>
    <definedName name="MO.Ticker.FactSet">#REF!</definedName>
    <definedName name="MO.Ticker.Thomson">#REF!</definedName>
    <definedName name="MO.TradingCurrency">#REF!</definedName>
    <definedName name="MO.ValuationToggle">#REF!</definedName>
    <definedName name="SP_BSR_CashFlow_LTM">'[1]Summary Page'!$95:$95</definedName>
    <definedName name="SP_BSR_CL_Avg">'[1]Summary Page'!$115:$115</definedName>
    <definedName name="SP_BSR_Debt_Avg">'[1]Summary Page'!$109:$109</definedName>
    <definedName name="SP_BSR_EBITDA_LTM">'[1]Summary Page'!$94:$94</definedName>
    <definedName name="SP_BSR_SE_Avg">'[1]Summary Page'!$101:$101</definedName>
    <definedName name="SP_BSR_TA_Avg">'[1]Summary Page'!$106:$106</definedName>
    <definedName name="SP_CFA_CFO">'[1]Summary Page'!$72:$72</definedName>
    <definedName name="SP_CFA_CFO_PerShare">'[1]Summary Page'!$84:$84</definedName>
    <definedName name="SP_CFA_FCF_PreDiv">'[1]Summary Page'!$74:$74</definedName>
    <definedName name="SP_CFA_NetChange">'[1]Summary Page'!$82:$82</definedName>
    <definedName name="SP_CS_Cash">'[1]Summary Page'!$7:$7</definedName>
    <definedName name="SP_CS_Debt">'[1]Summary Page'!$8:$8</definedName>
    <definedName name="SP_CS_EV">'[1]Summary Page'!$11:$11</definedName>
    <definedName name="SP_CS_EVCalc_Other">'[1]Summary Page'!$10:$10</definedName>
    <definedName name="SP_CS_MarketCap">'[1]Summary Page'!$6:$6</definedName>
    <definedName name="SP_CS_OL">'[1]Summary Page'!$9:$9</definedName>
    <definedName name="SP_CS_ShareCount">'[1]Summary Page'!$5:$5</definedName>
    <definedName name="SP_CS_StockPrice">'[1]Summary Page'!$4:$4</definedName>
    <definedName name="SP_GF_COGS">'[1]Summary Page'!$38:$38</definedName>
    <definedName name="SP_GF_DA_operating">'[1]Summary Page'!$44:$44</definedName>
    <definedName name="SP_GF_DAintangibles">'[1]Summary Page'!$45:$45</definedName>
    <definedName name="SP_GF_DisCont">'[1]Summary Page'!$50:$50</definedName>
    <definedName name="SP_GF_Div_Prefs">'[1]Summary Page'!$52:$52</definedName>
    <definedName name="SP_GF_EBITDA">'[1]Summary Page'!$42:$42</definedName>
    <definedName name="SP_GF_EBT">'[1]Summary Page'!$48:$48</definedName>
    <definedName name="SP_GF_GA">'[1]Summary Page'!$40:$40</definedName>
    <definedName name="SP_GF_IE">'[1]Summary Page'!$46:$46</definedName>
    <definedName name="SP_GF_NCI">'[1]Summary Page'!$51:$51</definedName>
    <definedName name="SP_GF_NI">'[1]Summary Page'!$53:$53</definedName>
    <definedName name="SP_GF_OI">'[1]Summary Page'!$47:$47</definedName>
    <definedName name="SP_GF_RD">'[1]Summary Page'!$41:$41</definedName>
    <definedName name="SP_GF_Rev">'[1]Summary Page'!$37:$37</definedName>
    <definedName name="SP_GF_SBC">'[1]Summary Page'!$43:$43</definedName>
    <definedName name="SP_GF_SM">'[1]Summary Page'!$39:$39</definedName>
    <definedName name="SP_GF_Tax">'[1]Summary Page'!$49:$49</definedName>
    <definedName name="SP_NGF_EBITDA">'[1]Summary Page'!$57:$57</definedName>
    <definedName name="SP_NGF_EPS">'[1]Summary Page'!$59:$59</definedName>
    <definedName name="SP_NGF_NI">'[1]Summary Page'!$58:$58</definedName>
    <definedName name="SP.ValuationToggle">'[1]Summary Page'!$B$4</definedName>
    <definedName name="tb_ConsensusEstimate">#REF!</definedName>
    <definedName name="tb_EntireModel">#REF!</definedName>
    <definedName name="tb_KeyOutputs">#REF!</definedName>
    <definedName name="tb_StockPrice">#REF!</definedName>
    <definedName name="tb_Tickers">#REF!</definedName>
    <definedName name="tb_ValuationToggle">#REF!</definedName>
    <definedName name="UL.MRQ">'[1]Update Log'!$F$7</definedName>
    <definedName name="X">[3]Cover!$G$11</definedName>
    <definedName name="z_3PODK70133_MO_AN_Acquisitionrelatedexpense">#REF!</definedName>
    <definedName name="z_3PODK70133_MO_AN_Acquisitionrelatedexpense_1">#REF!</definedName>
    <definedName name="z_3PODK70133_MO_AN_adjustedebitda">#REF!</definedName>
    <definedName name="z_3PODK70133_MO_AN_amortizationanddepreciationexpense">#REF!</definedName>
    <definedName name="z_3PODK70133_MO_AN_amortizationexpense">#REF!</definedName>
    <definedName name="z_3PODK70133_MO_AN_Amortizationofdebtdiscountanddebtissuancecosts">#REF!</definedName>
    <definedName name="z_3PODK70133_MO_AN_Amortizationofintangibles">#REF!</definedName>
    <definedName name="z_3PODK70133_MO_AN_DAofPPE">#REF!</definedName>
    <definedName name="z_3PODK70133_MO_AN_Dividendspaidtoparticipatingsecurities">#REF!</definedName>
    <definedName name="z_3PODK70133_MO_AN_generalandadministrativesbc">#REF!</definedName>
    <definedName name="z_3PODK70133_MO_AN_goodwillandintangibleassetimpairment">#REF!</definedName>
    <definedName name="z_3PODK70133_MO_AN_goodwillandintangibleassetimpairment_1">#REF!</definedName>
    <definedName name="z_3PODK70133_MO_AN_incometax">#REF!</definedName>
    <definedName name="z_3PODK70133_MO_AN_incometaxes">#REF!</definedName>
    <definedName name="z_3PODK70133_MO_AN_incometaxexpense">#REF!</definedName>
    <definedName name="z_3PODK70133_MO_AN_Interestexpenseandotherincomeexpense">#REF!</definedName>
    <definedName name="z_3PODK70133_MO_AN_Interestexpensenetoftaxattributabletoconvertibleseniornotes">#REF!</definedName>
    <definedName name="z_3PODK70133_MO_AN_Interestexpenseotherexpenseincome">#REF!</definedName>
    <definedName name="z_3PODK70133_MO_AN_lessincomeallocatedtoparticipatingsecurities">#REF!</definedName>
    <definedName name="z_3PODK70133_MO_AN_litigationexpense">#REF!</definedName>
    <definedName name="z_3PODK70133_MO_AN_litigationexpense_1">#REF!</definedName>
    <definedName name="z_3PODK70133_MO_AN_netincome">#REF!</definedName>
    <definedName name="z_3PODK70133_MO_AN_netincomeattributabletocommonstockholders">#REF!</definedName>
    <definedName name="z_3PODK70133_MO_AN_Netincomeattributabletocommonstockholders_2">#REF!</definedName>
    <definedName name="z_3PODK70133_MO_AN_netincomeattributabletocommonstockholdersbeforetaxes">#REF!</definedName>
    <definedName name="z_3PODK70133_MO_AN_Netincomeattributabletocommonstockholdersdiluted">#REF!</definedName>
    <definedName name="z_3PODK70133_MO_AN_nongaapadjustednetincomeattributabletocommonstockholders">#REF!</definedName>
    <definedName name="z_3PODK70133_MO_AN_OtherDA">#REF!</definedName>
    <definedName name="z_3PODK70133_MO_AN_Otherexpenseincome">#REF!</definedName>
    <definedName name="z_3PODK70133_MO_AN_Releaseofacquisitionrelatedcontingentliability">#REF!</definedName>
    <definedName name="z_3PODK70133_MO_AN_Releaseofacquisitionrelatedcontingentliability_1">#REF!</definedName>
    <definedName name="z_3PODK70133_MO_AN_researchanddevelopmentsbc">#REF!</definedName>
    <definedName name="z_3PODK70133_MO_AN_salesandmarketingsbc">#REF!</definedName>
    <definedName name="z_3PODK70133_MO_AN_Secondaryofferingexpense">#REF!</definedName>
    <definedName name="z_3PODK70133_MO_AN_Secondaryofferingexpense_1">#REF!</definedName>
    <definedName name="z_3PODK70133_MO_AN_stockbasedcompensationexpense">#REF!</definedName>
    <definedName name="z_3PODK70133_MO_AN_stockbasedcompensationexpense_1">#REF!</definedName>
    <definedName name="z_3PODK70133_MO_AN_TotalDA">#REF!</definedName>
    <definedName name="z_3PODK70133_MO_AN_totalstockbasedcompensationexpense">#REF!</definedName>
    <definedName name="z_3PODK70133_MO_BlankRow_AN">#REF!</definedName>
    <definedName name="z_3PODK70133_MO_BlankRow_AN_1">#REF!</definedName>
    <definedName name="z_3PODK70133_MO_BlankRow_AN_2">#REF!</definedName>
    <definedName name="z_3PODK70133_MO_BlankRow_AN_3">#REF!</definedName>
    <definedName name="z_3PODK70133_MO_BlankRow_AN_4">#REF!</definedName>
    <definedName name="z_3PODK70133_MO_BlankRow_BS_1">#REF!</definedName>
    <definedName name="z_3PODK70133_MO_BlankRow_BS_2">#REF!</definedName>
    <definedName name="z_3PODK70133_MO_BlankRow_BS_3">#REF!</definedName>
    <definedName name="z_3PODK70133_MO_BlankRow_BS_4">#REF!</definedName>
    <definedName name="z_3PODK70133_MO_BlankRow_BS_5">#REF!</definedName>
    <definedName name="z_3PODK70133_MO_BlankRow_BS_6">#REF!</definedName>
    <definedName name="z_3PODK70133_MO_BlankRow_BSS">#REF!</definedName>
    <definedName name="z_3PODK70133_MO_BlankRow_BSS_1">#REF!</definedName>
    <definedName name="z_3PODK70133_MO_BlankRow_BSS_2">#REF!</definedName>
    <definedName name="z_3PODK70133_MO_BlankRow_CCFS">#REF!</definedName>
    <definedName name="z_3PODK70133_MO_BlankRow_CCFS_1">#REF!</definedName>
    <definedName name="z_3PODK70133_MO_BlankRow_CCFS_2">#REF!</definedName>
    <definedName name="z_3PODK70133_MO_BlankRow_CCFS_3">#REF!</definedName>
    <definedName name="z_3PODK70133_MO_BlankRow_CCFS_4">#REF!</definedName>
    <definedName name="z_3PODK70133_MO_BlankRow_CCFS_5">#REF!</definedName>
    <definedName name="z_3PODK70133_MO_BlankRow_CFS_2">#REF!</definedName>
    <definedName name="z_3PODK70133_MO_BlankRow_CFS_3">#REF!</definedName>
    <definedName name="z_3PODK70133_MO_BlankRow_CFS_4">#REF!</definedName>
    <definedName name="z_3PODK70133_MO_BlankRow_CFS_5">#REF!</definedName>
    <definedName name="z_3PODK70133_MO_BlankRow_CFS_6">#REF!</definedName>
    <definedName name="z_3PODK70133_MO_BlankRow_CFS_7">#REF!</definedName>
    <definedName name="z_3PODK70133_MO_BlankRow_CFS_9">#REF!</definedName>
    <definedName name="z_3PODK70133_MO_BlankRow_CFSum">#REF!</definedName>
    <definedName name="z_3PODK70133_MO_BlankRow_CFSum_1">#REF!</definedName>
    <definedName name="z_3PODK70133_MO_BlankRow_CFSum_2">#REF!</definedName>
    <definedName name="z_3PODK70133_MO_BlankRow_DAF">#REF!</definedName>
    <definedName name="z_3PODK70133_MO_BlankRow_DAF_1">#REF!</definedName>
    <definedName name="z_3PODK70133_MO_BlankRow_DAF_2">#REF!</definedName>
    <definedName name="z_3PODK70133_MO_BlankRow_DAF_3">#REF!</definedName>
    <definedName name="z_3PODK70133_MO_BlankRow_GA">#REF!</definedName>
    <definedName name="z_3PODK70133_MO_BlankRow_GA_1">#REF!</definedName>
    <definedName name="z_3PODK70133_MO_BlankRow_IS">#REF!</definedName>
    <definedName name="z_3PODK70133_MO_BlankRow_IS_1">#REF!</definedName>
    <definedName name="z_3PODK70133_MO_BlankRow_MA">#REF!</definedName>
    <definedName name="z_3PODK70133_MO_BlankRow_MA_1">#REF!</definedName>
    <definedName name="z_3PODK70133_MO_BlankRow_MA_2">#REF!</definedName>
    <definedName name="z_3PODK70133_MO_BlankRow_MA_3">#REF!</definedName>
    <definedName name="z_3PODK70133_MO_BlankRow_MA_4">#REF!</definedName>
    <definedName name="z_3PODK70133_MO_BlankRow_MA_5">#REF!</definedName>
    <definedName name="z_3PODK70133_MO_BlankRow_OS">#REF!</definedName>
    <definedName name="z_3PODK70133_MO_BlankRow_OS_1">#REF!</definedName>
    <definedName name="z_3PODK70133_MO_BlankRow_OS_10">#REF!</definedName>
    <definedName name="z_3PODK70133_MO_BlankRow_OS_11">#REF!</definedName>
    <definedName name="z_3PODK70133_MO_BlankRow_OS_12">#REF!</definedName>
    <definedName name="z_3PODK70133_MO_BlankRow_OS_13">#REF!</definedName>
    <definedName name="z_3PODK70133_MO_BlankRow_OS_14">#REF!</definedName>
    <definedName name="z_3PODK70133_MO_BlankRow_OS_15">#REF!</definedName>
    <definedName name="z_3PODK70133_MO_BlankRow_OS_16">#REF!</definedName>
    <definedName name="z_3PODK70133_MO_BlankRow_OS_17">#REF!</definedName>
    <definedName name="z_3PODK70133_MO_BlankRow_OS_18">#REF!</definedName>
    <definedName name="z_3PODK70133_MO_BlankRow_OS_19">#REF!</definedName>
    <definedName name="z_3PODK70133_MO_BlankRow_OS_2">#REF!</definedName>
    <definedName name="z_3PODK70133_MO_BlankRow_OS_20">#REF!</definedName>
    <definedName name="z_3PODK70133_MO_BlankRow_OS_21">#REF!</definedName>
    <definedName name="z_3PODK70133_MO_BlankRow_OS_22">#REF!</definedName>
    <definedName name="z_3PODK70133_MO_BlankRow_OS_23">#REF!</definedName>
    <definedName name="z_3PODK70133_MO_BlankRow_OS_24">#REF!</definedName>
    <definedName name="z_3PODK70133_MO_BlankRow_OS_25">#REF!</definedName>
    <definedName name="z_3PODK70133_MO_BlankRow_OS_26">#REF!</definedName>
    <definedName name="z_3PODK70133_MO_BlankRow_OS_3">#REF!</definedName>
    <definedName name="z_3PODK70133_MO_BlankRow_OS_4">#REF!</definedName>
    <definedName name="z_3PODK70133_MO_BlankRow_OS_6">#REF!</definedName>
    <definedName name="z_3PODK70133_MO_BlankRow_OS_7">#REF!</definedName>
    <definedName name="z_3PODK70133_MO_BlankRow_OS_8">#REF!</definedName>
    <definedName name="z_3PODK70133_MO_BlankRow_OS_9">#REF!</definedName>
    <definedName name="z_3PODK70133_MO_BlankRow_RIS">#REF!</definedName>
    <definedName name="z_3PODK70133_MO_BlankRow_RIS_1">#REF!</definedName>
    <definedName name="z_3PODK70133_MO_BlankRow_RIS_2">#REF!</definedName>
    <definedName name="z_3PODK70133_MO_BlankRow_RIS_3">#REF!</definedName>
    <definedName name="z_3PODK70133_MO_BlankRow_RIS_4">#REF!</definedName>
    <definedName name="z_3PODK70133_MO_BlankRow_RIS_5">#REF!</definedName>
    <definedName name="z_3PODK70133_MO_BlankRow_RIS_6">#REF!</definedName>
    <definedName name="z_3PODK70133_MO_BlankRow_RIS_7">#REF!</definedName>
    <definedName name="z_3PODK70133_MO_BlankRow_RIS_8">#REF!</definedName>
    <definedName name="z_3PODK70133_MO_BlankRow_SNA">#REF!</definedName>
    <definedName name="z_3PODK70133_MO_BlankRow_SNA_1">#REF!</definedName>
    <definedName name="z_3PODK70133_MO_BlankRow_SNA_10">#REF!</definedName>
    <definedName name="z_3PODK70133_MO_BlankRow_SNA_11">#REF!</definedName>
    <definedName name="z_3PODK70133_MO_BlankRow_SNA_12">#REF!</definedName>
    <definedName name="z_3PODK70133_MO_BlankRow_SNA_13">#REF!</definedName>
    <definedName name="z_3PODK70133_MO_BlankRow_SNA_14">#REF!</definedName>
    <definedName name="z_3PODK70133_MO_BlankRow_SNA_2">#REF!</definedName>
    <definedName name="z_3PODK70133_MO_BlankRow_SNA_3">#REF!</definedName>
    <definedName name="z_3PODK70133_MO_BlankRow_SNA_4">#REF!</definedName>
    <definedName name="z_3PODK70133_MO_BlankRow_SNA_5">#REF!</definedName>
    <definedName name="z_3PODK70133_MO_BlankRow_SNA_6">#REF!</definedName>
    <definedName name="z_3PODK70133_MO_BlankRow_SNA_7">#REF!</definedName>
    <definedName name="z_3PODK70133_MO_BlankRow_SNA_8">#REF!</definedName>
    <definedName name="z_3PODK70133_MO_BlankRow_SNA_9">#REF!</definedName>
    <definedName name="z_3PODK70133_MO_BS_Accountspayable">#REF!</definedName>
    <definedName name="z_3PODK70133_MO_BS_Accountsreceivable">#REF!</definedName>
    <definedName name="z_3PODK70133_MO_BS_accruedcompensation">#REF!</definedName>
    <definedName name="z_3PODK70133_MO_BS_accumulateddeficit">#REF!</definedName>
    <definedName name="z_3PODK70133_MO_BS_Accumulatedothercomprehensiveincome">#REF!</definedName>
    <definedName name="z_3PODK70133_MO_BS_additionalpaidincapital">#REF!</definedName>
    <definedName name="z_3PODK70133_MO_BS_BSCheck">#REF!</definedName>
    <definedName name="z_3PODK70133_MO_BS_cashandcashequivalents">#REF!</definedName>
    <definedName name="z_3PODK70133_MO_BS_commonstock">#REF!</definedName>
    <definedName name="z_3PODK70133_MO_BS_Convertibleseniornotes">#REF!</definedName>
    <definedName name="z_3PODK70133_MO_BS_CurrentAssets">#REF!</definedName>
    <definedName name="z_3PODK70133_MO_BS_CurrentLiabilities">#REF!</definedName>
    <definedName name="z_3PODK70133_MO_BS_deferredrevenue">#REF!</definedName>
    <definedName name="z_3PODK70133_MO_BS_deferredrevenue_1">#REF!</definedName>
    <definedName name="z_3PODK70133_MO_BS_deferredtaxassets">#REF!</definedName>
    <definedName name="z_3PODK70133_MO_BS_deferredtaxassets_1">#REF!</definedName>
    <definedName name="z_3PODK70133_MO_BS_deferredtaxliability">#REF!</definedName>
    <definedName name="z_3PODK70133_MO_BS_Goodwill">#REF!</definedName>
    <definedName name="z_3PODK70133_MO_BS_Intangibleassets">#REF!</definedName>
    <definedName name="z_3PODK70133_MO_BS_Inventory">#REF!</definedName>
    <definedName name="z_3PODK70133_MO_BS_Longtermdebt">#REF!</definedName>
    <definedName name="z_3PODK70133_MO_BS_marketablesecurities">#REF!</definedName>
    <definedName name="z_3PODK70133_MO_BS_NCI">#REF!</definedName>
    <definedName name="z_3PODK70133_MO_BS_NetIncomeonReportedISNIonRevised">#REF!</definedName>
    <definedName name="z_3PODK70133_MO_BS_NetIncomeonRevisedISNIonCFstatement">#REF!</definedName>
    <definedName name="z_3PODK70133_MO_BS_NonCurrentAssets">#REF!</definedName>
    <definedName name="z_3PODK70133_MO_BS_NonCurrentLiabilities">#REF!</definedName>
    <definedName name="z_3PODK70133_MO_BS_Operatingleaseliabilities">#REF!</definedName>
    <definedName name="z_3PODK70133_MO_BS_Operatingleaseliabilities_1">#REF!</definedName>
    <definedName name="z_3PODK70133_MO_BS_Operatingleaserightofuseassets">#REF!</definedName>
    <definedName name="z_3PODK70133_MO_BS_Otherassets">#REF!</definedName>
    <definedName name="z_3PODK70133_MO_BS_Othercurrentassets">#REF!</definedName>
    <definedName name="z_3PODK70133_MO_BS_Otherliabilities">#REF!</definedName>
    <definedName name="z_3PODK70133_MO_BS_preferredstock">#REF!</definedName>
    <definedName name="z_3PODK70133_MO_BS_Propertyandequipment">#REF!</definedName>
    <definedName name="z_3PODK70133_MO_BS_redeemableconvertiblepreferredstock">#REF!</definedName>
    <definedName name="z_3PODK70133_MO_BS_Redeemablenoncontrollinginterest">#REF!</definedName>
    <definedName name="z_3PODK70133_MO_BS_Restrictedcash">#REF!</definedName>
    <definedName name="z_3PODK70133_MO_BS_ShareholdersEquity">#REF!</definedName>
    <definedName name="z_3PODK70133_MO_BS_TotalAssets">#REF!</definedName>
    <definedName name="z_3PODK70133_MO_BS_TotalCurrentAssets">#REF!</definedName>
    <definedName name="z_3PODK70133_MO_BS_TotalCurrentLiabilities">#REF!</definedName>
    <definedName name="z_3PODK70133_MO_BS_TotalLiabilities">#REF!</definedName>
    <definedName name="z_3PODK70133_MO_BS_TotalLiabilitiesSE">#REF!</definedName>
    <definedName name="z_3PODK70133_MO_BS_TotalNonCurrentAssets">#REF!</definedName>
    <definedName name="z_3PODK70133_MO_BS_TotalNonCurrentliabilities">#REF!</definedName>
    <definedName name="z_3PODK70133_MO_BS_TotalSE">#REF!</definedName>
    <definedName name="z_3PODK70133_MO_BS_treasurystock">#REF!</definedName>
    <definedName name="z_3PODK70133_MO_BSS_Cash">#REF!</definedName>
    <definedName name="z_3PODK70133_MO_BSS_Debt">#REF!</definedName>
    <definedName name="z_3PODK70133_MO_BSS_DebtCashFlow">#REF!</definedName>
    <definedName name="z_3PODK70133_MO_BSS_DebtEBITDA">#REF!</definedName>
    <definedName name="z_3PODK70133_MO_BSS_EBITDANetInterestExpense">#REF!</definedName>
    <definedName name="z_3PODK70133_MO_BSS_EffectiveInterestRateonCash">#REF!</definedName>
    <definedName name="z_3PODK70133_MO_BSS_EffectiveInterestRateonDebt">#REF!</definedName>
    <definedName name="z_3PODK70133_MO_BSS_EffectiveNetInterestRateonDebt">#REF!</definedName>
    <definedName name="z_3PODK70133_MO_BSS_InterestExpense">#REF!</definedName>
    <definedName name="z_3PODK70133_MO_BSS_InterestIncome">#REF!</definedName>
    <definedName name="z_3PODK70133_MO_BSS_LTDebt">#REF!</definedName>
    <definedName name="z_3PODK70133_MO_BSS_NetDebt">#REF!</definedName>
    <definedName name="z_3PODK70133_MO_BSS_NetInterestExpenseIncome">#REF!</definedName>
    <definedName name="z_3PODK70133_MO_BSS_OperatingLeaseLiabilities">#REF!</definedName>
    <definedName name="z_3PODK70133_MO_BSS_STDebt">#REF!</definedName>
    <definedName name="z_3PODK70133_MO_CCFS_accountspayable">#REF!</definedName>
    <definedName name="z_3PODK70133_MO_CCFS_accountsreceivable">#REF!</definedName>
    <definedName name="z_3PODK70133_MO_CCFS_Acquiredinprocessresearchanddevelopment">#REF!</definedName>
    <definedName name="z_3PODK70133_MO_CCFS_additionstopropertyandequipment">#REF!</definedName>
    <definedName name="z_3PODK70133_MO_CCFS_amortizationanddepreciation">#REF!</definedName>
    <definedName name="z_3PODK70133_MO_CCFS_Amortizationofdebtissuancecosts">#REF!</definedName>
    <definedName name="z_3PODK70133_MO_CCFS_Amortizationofoperatingleaserightofuseassets">#REF!</definedName>
    <definedName name="z_3PODK70133_MO_CCFS_amortizationonpatents">#REF!</definedName>
    <definedName name="z_3PODK70133_MO_CCFS_BeginningCashBalance">#REF!</definedName>
    <definedName name="z_3PODK70133_MO_CCFS_Businessacquisition">#REF!</definedName>
    <definedName name="z_3PODK70133_MO_CCFS_Cashpaidforincometaxes">#REF!</definedName>
    <definedName name="z_3PODK70133_MO_CCFS_Cashpaidforinterest">#REF!</definedName>
    <definedName name="z_3PODK70133_MO_CCFS_CFF">#REF!</definedName>
    <definedName name="z_3PODK70133_MO_CCFS_CFI">#REF!</definedName>
    <definedName name="z_3PODK70133_MO_CCFS_CFO">#REF!</definedName>
    <definedName name="z_3PODK70133_MO_CCFS_CFObeforeWC">#REF!</definedName>
    <definedName name="z_3PODK70133_MO_CCFS_changeinfairvalueofcontingentliability">#REF!</definedName>
    <definedName name="z_3PODK70133_MO_CCFS_deferredincometaxes">#REF!</definedName>
    <definedName name="z_3PODK70133_MO_CCFS_deferredrevenue">#REF!</definedName>
    <definedName name="z_3PODK70133_MO_CCFS_Disposalofpropertyandequipment">#REF!</definedName>
    <definedName name="z_3PODK70133_MO_CCFS_Dividendspaidtocommonstockholders">#REF!</definedName>
    <definedName name="z_3PODK70133_MO_CCFS_Dividendspaidtoemployeesforunvestedshares">#REF!</definedName>
    <definedName name="z_3PODK70133_MO_CCFS_Dividendspaidtoredeemableconvertiblepreferredstockholders">#REF!</definedName>
    <definedName name="z_3PODK70133_MO_CCFS_EndingCashBalance">#REF!</definedName>
    <definedName name="z_3PODK70133_MO_CCFS_FX">#REF!</definedName>
    <definedName name="z_3PODK70133_MO_CCFS_Gainonnotesreceivable">#REF!</definedName>
    <definedName name="z_3PODK70133_MO_CCFS_gainonreleaseofcontingentliability">#REF!</definedName>
    <definedName name="z_3PODK70133_MO_CCFS_Gainonsaleofinvestment">#REF!</definedName>
    <definedName name="z_3PODK70133_MO_CCFS_goodwillandintangibleassetimpairment">#REF!</definedName>
    <definedName name="z_3PODK70133_MO_CCFS_impairmentofcostmethodinvestment">#REF!</definedName>
    <definedName name="z_3PODK70133_MO_CCFS_inventory">#REF!</definedName>
    <definedName name="z_3PODK70133_MO_CCFS_investmentincostmethodinvestee">#REF!</definedName>
    <definedName name="z_3PODK70133_MO_CCFS_Issuancesofcommonstockfromequitybasedplans">#REF!</definedName>
    <definedName name="z_3PODK70133_MO_CCFS_issuancesofnotesreceivable">#REF!</definedName>
    <definedName name="z_3PODK70133_MO_CCFS_Lossonearlyextinguishmentofdebt">#REF!</definedName>
    <definedName name="z_3PODK70133_MO_CCFS_NetCFF">#REF!</definedName>
    <definedName name="z_3PODK70133_MO_CCFS_NetCFI">#REF!</definedName>
    <definedName name="z_3PODK70133_MO_CCFS_NetCFO">#REF!</definedName>
    <definedName name="z_3PODK70133_MO_CCFS_NetChangeinCashBalance">#REF!</definedName>
    <definedName name="z_3PODK70133_MO_CCFS_netincome">#REF!</definedName>
    <definedName name="z_3PODK70133_MO_CCFS_Operatingleaseliabilities">#REF!</definedName>
    <definedName name="z_3PODK70133_MO_CCFS_Other">#REF!</definedName>
    <definedName name="z_3PODK70133_MO_CCFS_Otherassets">#REF!</definedName>
    <definedName name="z_3PODK70133_MO_CCFS_Otherliabilities">#REF!</definedName>
    <definedName name="z_3PODK70133_MO_CCFS_paymentforrepurchaseofpreferredstock">#REF!</definedName>
    <definedName name="z_3PODK70133_MO_CCFS_Paymentsoflongtermconsiderationforbusinessacquisitions">#REF!</definedName>
    <definedName name="z_3PODK70133_MO_CCFS_paymentsofofferingcosts">#REF!</definedName>
    <definedName name="z_3PODK70133_MO_CCFS_Paymentsoftaxwithholdingsrelatedtovestingofrestrictedstockunits">#REF!</definedName>
    <definedName name="z_3PODK70133_MO_CCFS_paymentsonnotesreceivable">"Deleted"</definedName>
    <definedName name="z_3PODK70133_MO_CCFS_proceedsfromcreditfacility">#REF!</definedName>
    <definedName name="z_3PODK70133_MO_CCFS_proceedsfromearlyexerciseofstockoptions">#REF!</definedName>
    <definedName name="z_3PODK70133_MO_CCFS_proceedsfromissuanceofcommonstockfrominitialpublicoffering">#REF!</definedName>
    <definedName name="z_3PODK70133_MO_CCFS_Proceedsfromissuanceofdebt">#REF!</definedName>
    <definedName name="z_3PODK70133_MO_CCFS_proceedsfromissuanceofpreferredstock">#REF!</definedName>
    <definedName name="z_3PODK70133_MO_CCFS_Proceedsfromsaleofinvestment">#REF!</definedName>
    <definedName name="z_3PODK70133_MO_CCFS_proceedsfromsaleofpropertyandequipment">#REF!</definedName>
    <definedName name="z_3PODK70133_MO_CCFS_provisionfordoubtfulaccounts">#REF!</definedName>
    <definedName name="z_3PODK70133_MO_CCFS_Provisionforexcessandobsoleteinventory">#REF!</definedName>
    <definedName name="z_3PODK70133_MO_CCFS_Provisionfornotesreceivable">#REF!</definedName>
    <definedName name="z_3PODK70133_MO_CCFS_Purchaseofinvestmentinunconsolidatedentity">#REF!</definedName>
    <definedName name="z_3PODK70133_MO_CCFS_Purchasesofinprocessresearchanddevelopment">#REF!</definedName>
    <definedName name="z_3PODK70133_MO_CCFS_purchasesoflicensestopatents">#REF!</definedName>
    <definedName name="z_3PODK70133_MO_CCFS_purchasesofmarketablesecurities">#REF!</definedName>
    <definedName name="z_3PODK70133_MO_CCFS_repaymentsofcreditfacility">#REF!</definedName>
    <definedName name="z_3PODK70133_MO_CCFS_repaymentsofnotesreceivable">#REF!</definedName>
    <definedName name="z_3PODK70133_MO_CCFS_repaymentsoftermloan">#REF!</definedName>
    <definedName name="z_3PODK70133_MO_CCFS_repurchasesofcommonstock">#REF!</definedName>
    <definedName name="z_3PODK70133_MO_CCFS_reserveforproductreturns">#REF!</definedName>
    <definedName name="z_3PODK70133_MO_CCFS_saleofcostmethodinvestee">#REF!</definedName>
    <definedName name="z_3PODK70133_MO_CCFS_stockbasedcompensation">#REF!</definedName>
    <definedName name="z_3PODK70133_MO_CCFS_taxwindfallbenefitfromstockoptions">#REF!</definedName>
    <definedName name="z_3PODK70133_MO_CCFS_Undistributedlossesfromequityinvestees">#REF!</definedName>
    <definedName name="z_3PODK70133_MO_CCFS_unrealizedgainonderivativeinstrument">#REF!</definedName>
    <definedName name="z_3PODK70133_MO_CFS_accountspayable">#REF!</definedName>
    <definedName name="z_3PODK70133_MO_CFS_accountsreceivable">#REF!</definedName>
    <definedName name="z_3PODK70133_MO_CFS_Acquiredinprocessresearchanddevelopment">#REF!</definedName>
    <definedName name="z_3PODK70133_MO_CFS_additionstopropertyandequipment">#REF!</definedName>
    <definedName name="z_3PODK70133_MO_CFS_amortizationanddepreciation">#REF!</definedName>
    <definedName name="z_3PODK70133_MO_CFS_Amortizationofdebtissuancecosts">#REF!</definedName>
    <definedName name="z_3PODK70133_MO_CFS_Amortizationofoperatingleaserightofuseassets">#REF!</definedName>
    <definedName name="z_3PODK70133_MO_CFS_amortizationonpatents">#REF!</definedName>
    <definedName name="z_3PODK70133_MO_CFS_BeginningCashBalance">#REF!</definedName>
    <definedName name="z_3PODK70133_MO_CFS_Businessacquisition">#REF!</definedName>
    <definedName name="z_3PODK70133_MO_CFS_Cashpaidforincometaxes">#REF!</definedName>
    <definedName name="z_3PODK70133_MO_CFS_Cashpaidforinterest">#REF!</definedName>
    <definedName name="z_3PODK70133_MO_CFS_CFCheck">#REF!</definedName>
    <definedName name="z_3PODK70133_MO_CFS_CFF">#REF!</definedName>
    <definedName name="z_3PODK70133_MO_CFS_CFI">#REF!</definedName>
    <definedName name="z_3PODK70133_MO_CFS_CFO">#REF!</definedName>
    <definedName name="z_3PODK70133_MO_CFS_CFObeforeWC">#REF!</definedName>
    <definedName name="z_3PODK70133_MO_CFS_changeinfairvalueofcontingentliability">#REF!</definedName>
    <definedName name="z_3PODK70133_MO_CFS_deferredincometaxes">#REF!</definedName>
    <definedName name="z_3PODK70133_MO_CFS_deferredrevenue">#REF!</definedName>
    <definedName name="z_3PODK70133_MO_CFS_Disposalofpropertyandequipment">#REF!</definedName>
    <definedName name="z_3PODK70133_MO_CFS_Dividendspaidtocommonstockholders">#REF!</definedName>
    <definedName name="z_3PODK70133_MO_CFS_Dividendspaidtoemployeesforunvestedshares">#REF!</definedName>
    <definedName name="z_3PODK70133_MO_CFS_Dividendspaidtoredeemableconvertiblepreferredstockholders">#REF!</definedName>
    <definedName name="z_3PODK70133_MO_CFS_EndingCashBalance">#REF!</definedName>
    <definedName name="z_3PODK70133_MO_CFS_FX">#REF!</definedName>
    <definedName name="z_3PODK70133_MO_CFS_Gainonnotesreceivable">#REF!</definedName>
    <definedName name="z_3PODK70133_MO_CFS_gainonreleaseofcontingentliability">#REF!</definedName>
    <definedName name="z_3PODK70133_MO_CFS_Gainonsaleofinvestment">#REF!</definedName>
    <definedName name="z_3PODK70133_MO_CFS_goodwillandintangibleassetimpairment">#REF!</definedName>
    <definedName name="z_3PODK70133_MO_CFS_impairmentofcostmethodinvestment">#REF!</definedName>
    <definedName name="z_3PODK70133_MO_CFS_inventory">#REF!</definedName>
    <definedName name="z_3PODK70133_MO_CFS_investmentincostmethodinvestee">#REF!</definedName>
    <definedName name="z_3PODK70133_MO_CFS_Issuancesofcommonstockfromequitybasedplans">#REF!</definedName>
    <definedName name="z_3PODK70133_MO_CFS_issuancesofnotesreceivable">#REF!</definedName>
    <definedName name="z_3PODK70133_MO_CFS_Lossonearlyextinguishmentofdebt">#REF!</definedName>
    <definedName name="z_3PODK70133_MO_CFS_NetCFF">#REF!</definedName>
    <definedName name="z_3PODK70133_MO_CFS_NetCFI">#REF!</definedName>
    <definedName name="z_3PODK70133_MO_CFS_NetCFO">#REF!</definedName>
    <definedName name="z_3PODK70133_MO_CFS_NetChangeinCashBalance">#REF!</definedName>
    <definedName name="z_3PODK70133_MO_CFS_netincome">#REF!</definedName>
    <definedName name="z_3PODK70133_MO_CFS_Operatingleaseliabilities">#REF!</definedName>
    <definedName name="z_3PODK70133_MO_CFS_Other">#REF!</definedName>
    <definedName name="z_3PODK70133_MO_CFS_Otherassets">#REF!</definedName>
    <definedName name="z_3PODK70133_MO_CFS_Otherliabilities">#REF!</definedName>
    <definedName name="z_3PODK70133_MO_CFS_paymentforrepurchaseofpreferredstock">#REF!</definedName>
    <definedName name="z_3PODK70133_MO_CFS_Paymentsoflongtermconsiderationforbusinessacquisitions">#REF!</definedName>
    <definedName name="z_3PODK70133_MO_CFS_paymentsofofferingcosts">#REF!</definedName>
    <definedName name="z_3PODK70133_MO_CFS_Paymentsoftaxwithholdingsrelatedtovestingofrestrictedstockunits">#REF!</definedName>
    <definedName name="z_3PODK70133_MO_CFS_paymentsonnotesreceivable">"Deleted"</definedName>
    <definedName name="z_3PODK70133_MO_CFS_proceedsfromcreditfacility">#REF!</definedName>
    <definedName name="z_3PODK70133_MO_CFS_proceedsfromearlyexerciseofstockoptions">#REF!</definedName>
    <definedName name="z_3PODK70133_MO_CFS_proceedsfromissuanceofcommonstockfrominitialpublicoffering">#REF!</definedName>
    <definedName name="z_3PODK70133_MO_CFS_Proceedsfromissuanceofdebt">#REF!</definedName>
    <definedName name="z_3PODK70133_MO_CFS_proceedsfromissuanceofpreferredstock">#REF!</definedName>
    <definedName name="z_3PODK70133_MO_CFS_Proceedsfromsaleofinvestment">#REF!</definedName>
    <definedName name="z_3PODK70133_MO_CFS_proceedsfromsaleofpropertyandequipment">#REF!</definedName>
    <definedName name="z_3PODK70133_MO_CFS_provisionfordoubtfulaccounts">#REF!</definedName>
    <definedName name="z_3PODK70133_MO_CFS_Provisionforexcessandobsoleteinventory">#REF!</definedName>
    <definedName name="z_3PODK70133_MO_CFS_Provisionfornotesreceivable">#REF!</definedName>
    <definedName name="z_3PODK70133_MO_CFS_Purchaseofinvestmentinunconsolidatedentity">#REF!</definedName>
    <definedName name="z_3PODK70133_MO_CFS_Purchasesofinprocessresearchanddevelopment">#REF!</definedName>
    <definedName name="z_3PODK70133_MO_CFS_purchasesoflicensestopatents">#REF!</definedName>
    <definedName name="z_3PODK70133_MO_CFS_purchasesofmarketablesecurities">#REF!</definedName>
    <definedName name="z_3PODK70133_MO_CFS_repaymentsofcreditfacility">#REF!</definedName>
    <definedName name="z_3PODK70133_MO_CFS_repaymentsofnotesreceivable">#REF!</definedName>
    <definedName name="z_3PODK70133_MO_CFS_repaymentsoftermloan">#REF!</definedName>
    <definedName name="z_3PODK70133_MO_CFS_repurchasesofcommonstock">#REF!</definedName>
    <definedName name="z_3PODK70133_MO_CFS_reserveforproductreturns">#REF!</definedName>
    <definedName name="z_3PODK70133_MO_CFS_saleofcostmethodinvestee">#REF!</definedName>
    <definedName name="z_3PODK70133_MO_CFS_stockbasedcompensation">#REF!</definedName>
    <definedName name="z_3PODK70133_MO_CFS_taxwindfallbenefitfromstockoptions">#REF!</definedName>
    <definedName name="z_3PODK70133_MO_CFS_Undistributedlossesfromequityinvestees">#REF!</definedName>
    <definedName name="z_3PODK70133_MO_CFS_unrealizedgainonderivativeinstrument">#REF!</definedName>
    <definedName name="z_3PODK70133_MO_CFSum_Acquisitions">#REF!</definedName>
    <definedName name="z_3PODK70133_MO_CFSum_Capex">#REF!</definedName>
    <definedName name="z_3PODK70133_MO_CFSum_CashFlowPerDilutedShare">#REF!</definedName>
    <definedName name="z_3PODK70133_MO_CFSum_CashFlowPerDilutedShare_1">#REF!</definedName>
    <definedName name="z_3PODK70133_MO_CFSum_ChangeinWorkingCapital">#REF!</definedName>
    <definedName name="z_3PODK70133_MO_CFSum_ConsensusEstimatesCapex">#REF!</definedName>
    <definedName name="z_3PODK70133_MO_CFSum_consensusestimatescashflowperdilutedshare">#REF!</definedName>
    <definedName name="z_3PODK70133_MO_CFSum_Divestiture">#REF!</definedName>
    <definedName name="z_3PODK70133_MO_CFSum_DividendPaid">#REF!</definedName>
    <definedName name="z_3PODK70133_MO_CFSum_DividendPerShare">#REF!</definedName>
    <definedName name="z_3PODK70133_MO_CFSum_EstimatedSharePriceforIssuanceBuybacks">#REF!</definedName>
    <definedName name="z_3PODK70133_MO_CFSum_FCF">#REF!</definedName>
    <definedName name="z_3PODK70133_MO_CFSum_FCF_1">#REF!</definedName>
    <definedName name="z_3PODK70133_MO_CFSum_FCF_2">#REF!</definedName>
    <definedName name="z_3PODK70133_MO_CFSum_FCF_4">#REF!</definedName>
    <definedName name="z_3PODK70133_MO_CFSum_FCFPostDiv_1">#REF!</definedName>
    <definedName name="z_3PODK70133_MO_CFSum_FCFPostDiv_2">#REF!</definedName>
    <definedName name="z_3PODK70133_MO_CFSum_FCFPostDivDebtBuyback">#REF!</definedName>
    <definedName name="z_3PODK70133_MO_CFSum_FCFPostDivDebtBuyback_1">#REF!</definedName>
    <definedName name="z_3PODK70133_MO_CFSum_NetDebtIssuanceRepayment">#REF!</definedName>
    <definedName name="z_3PODK70133_MO_CFSum_NetShareIssuanceBuybacks">#REF!</definedName>
    <definedName name="z_3PODK70133_MO_CFSum_OperatingCashFlowafterWC">#REF!</definedName>
    <definedName name="z_3PODK70133_MO_CFSum_OperatingCashFlowbeforeWC">#REF!</definedName>
    <definedName name="z_3PODK70133_MO_Checks_SNA_AdjustedNumbersFYSumofQs">#REF!</definedName>
    <definedName name="z_3PODK70133_MO_Checks_SNA_BalanceSheetisnotRepeated">#REF!</definedName>
    <definedName name="z_3PODK70133_MO_Checks_SNA_CapexisUpdated">#REF!</definedName>
    <definedName name="z_3PODK70133_MO_Checks_SNA_CashFlowisnotRepeated">#REF!</definedName>
    <definedName name="z_3PODK70133_MO_Checks_SNA_CashFlowSummarySignsareCorrect">#REF!</definedName>
    <definedName name="z_3PODK70133_MO_Checks_SNA_CashisPositive">#REF!</definedName>
    <definedName name="z_3PODK70133_MO_Checks_SNA_CFFsubtotalFYSumofQs">#REF!</definedName>
    <definedName name="z_3PODK70133_MO_Checks_SNA_CFIsubtotalFYSumofQs">#REF!</definedName>
    <definedName name="z_3PODK70133_MO_Checks_SNA_CFOBeforeWCsubtotalFYSumofQs">#REF!</definedName>
    <definedName name="z_3PODK70133_MO_Checks_SNA_CFOsubtotalFYSumofQs">#REF!</definedName>
    <definedName name="z_3PODK70133_MO_Checks_SNA_CFSummaryFYSumofQs">#REF!</definedName>
    <definedName name="z_3PODK70133_MO_Checks_SNA_DebtisPositive">#REF!</definedName>
    <definedName name="z_3PODK70133_MO_Checks_SNA_EndingCFEndingCumulativeCF">#REF!</definedName>
    <definedName name="z_3PODK70133_MO_Checks_SNA_IncomeStatementisnotRepeated">#REF!</definedName>
    <definedName name="z_3PODK70133_MO_Checks_SNA_Marginaddsupto100">#REF!</definedName>
    <definedName name="z_3PODK70133_MO_Checks_SNA_MarginisUpdated">#REF!</definedName>
    <definedName name="z_3PODK70133_MO_Checks_SNA_RISAdjustedNIFYSumofQs">#REF!</definedName>
    <definedName name="z_3PODK70133_MO_Checks_SNA_RISNIFYSumofQs">#REF!</definedName>
    <definedName name="z_3PODK70133_MO_Checks_SNA_SegmentedRevenueRevenue">#REF!</definedName>
    <definedName name="z_3PODK70133_MO_DAF_AmortizationaspercentageofIntangiblesBoP">#REF!</definedName>
    <definedName name="z_3PODK70133_MO_DAF_Amortizationofintangibles">#REF!</definedName>
    <definedName name="z_3PODK70133_MO_DAF_Capexofintangibles">#REF!</definedName>
    <definedName name="z_3PODK70133_MO_DAF_CapexofPPE">#REF!</definedName>
    <definedName name="z_3PODK70133_MO_DAF_CapexofPPEandIntangibles">#REF!</definedName>
    <definedName name="z_3PODK70133_MO_DAF_DAofPPEandIntangibles">#REF!</definedName>
    <definedName name="z_3PODK70133_MO_DAF_DepreciationaspercentageofPPEBoP">#REF!</definedName>
    <definedName name="z_3PODK70133_MO_DAF_Depreciationoffixedassets">#REF!</definedName>
    <definedName name="z_3PODK70133_MO_DAF_Impliedlifeoffixedassets">#REF!</definedName>
    <definedName name="z_3PODK70133_MO_DAF_Impliedlifeofintangibles">#REF!</definedName>
    <definedName name="z_3PODK70133_MO_DAF_IntangiblesBoP">#REF!</definedName>
    <definedName name="z_3PODK70133_MO_DAF_IntangiblesEoP">#REF!</definedName>
    <definedName name="z_3PODK70133_MO_DAF_Othernetadditionstointangibles">#REF!</definedName>
    <definedName name="z_3PODK70133_MO_DAF_OthernetadditionstoPPE">#REF!</definedName>
    <definedName name="z_3PODK70133_MO_DAF_Percentageofcapexallocatedtointangibleassets">#REF!</definedName>
    <definedName name="z_3PODK70133_MO_DAF_PPEBoP">#REF!</definedName>
    <definedName name="z_3PODK70133_MO_DAF_PPEEoP">#REF!</definedName>
    <definedName name="z_3PODK70133_MO_GA_AlarmcomHardwareandOtherrevenuegrowth">#REF!</definedName>
    <definedName name="z_3PODK70133_MO_GA_Alarmcomrevenuegrowth">#REF!</definedName>
    <definedName name="z_3PODK70133_MO_GA_AlarmcomSaaSandLicenserevenuegrowth">#REF!</definedName>
    <definedName name="z_3PODK70133_MO_GA_OtherHardwareandOtherrevenuegrowth">#REF!</definedName>
    <definedName name="z_3PODK70133_MO_GA_Otherrevenuegrowth">#REF!</definedName>
    <definedName name="z_3PODK70133_MO_GA_OtherSaaSandLicenserevenuegrowth">#REF!</definedName>
    <definedName name="z_3PODK70133_MO_Header_ColumnHeader">#REF!</definedName>
    <definedName name="z_3PODK70133_MO_Header_CompanySubTitle">#REF!</definedName>
    <definedName name="z_3PODK70133_MO_Header_CompanyTitle">#REF!</definedName>
    <definedName name="z_3PODK70133_MO_Header_FPDays">#REF!</definedName>
    <definedName name="z_3PODK70133_MO_Header_QEndDate">#REF!</definedName>
    <definedName name="z_3PODK70133_MO_IS_amortizationanddepreciation">#REF!</definedName>
    <definedName name="z_3PODK70133_MO_IS_Costofhardwareandotherrevenue">#REF!</definedName>
    <definedName name="z_3PODK70133_MO_IS_costofsaasandlicenserevenue">#REF!</definedName>
    <definedName name="z_3PODK70133_MO_IS_Cumulativedividendonredeemableconvertiblepreferredstock">#REF!</definedName>
    <definedName name="z_3PODK70133_MO_IS_Dividendspaidonredeemableconvertiblepreferredstock">#REF!</definedName>
    <definedName name="z_3PODK70133_MO_IS_Dividendspaidtoparticipatingsecurities">#REF!</definedName>
    <definedName name="z_3PODK70133_MO_IS_generalandadministrative">#REF!</definedName>
    <definedName name="z_3PODK70133_MO_IS_Hardwareandotherrevenue">#REF!</definedName>
    <definedName name="z_3PODK70133_MO_IS_incomeallocatedtoparticipatingsecurities">#REF!</definedName>
    <definedName name="z_3PODK70133_MO_IS_incomebeforeincometaxes">#REF!</definedName>
    <definedName name="z_3PODK70133_MO_IS_interestexpense">#REF!</definedName>
    <definedName name="z_3PODK70133_MO_IS_Interestincome">#REF!</definedName>
    <definedName name="z_3PODK70133_MO_IS_ISCheck">#REF!</definedName>
    <definedName name="z_3PODK70133_MO_IS_netincome">#REF!</definedName>
    <definedName name="z_3PODK70133_MO_IS_netincomeattributabletocommonstockholders">#REF!</definedName>
    <definedName name="z_3PODK70133_MO_IS_Netlossattributabletoredeemablenoncontrollinginterest">#REF!</definedName>
    <definedName name="z_3PODK70133_MO_IS_operatingincome">#REF!</definedName>
    <definedName name="z_3PODK70133_MO_IS_Otherincome">#REF!</definedName>
    <definedName name="z_3PODK70133_MO_IS_provisionforincometaxes">#REF!</definedName>
    <definedName name="z_3PODK70133_MO_IS_researchanddevelopment">#REF!</definedName>
    <definedName name="z_3PODK70133_MO_IS_saasandlicenserevenue">#REF!</definedName>
    <definedName name="z_3PODK70133_MO_IS_salesandmarketing">#REF!</definedName>
    <definedName name="z_3PODK70133_MO_IS_totalcostofrevenue">#REF!</definedName>
    <definedName name="z_3PODK70133_MO_IS_totaloperatingexpenses">#REF!</definedName>
    <definedName name="z_3PODK70133_MO_IS_totalrevenue">#REF!</definedName>
    <definedName name="z_3PODK70133_MO_MA_AdjustedEBITDAMargin">#REF!</definedName>
    <definedName name="z_3PODK70133_MO_MA_AverageFXRate">#REF!</definedName>
    <definedName name="z_3PODK70133_MO_MA_COGSMargin">#REF!</definedName>
    <definedName name="z_3PODK70133_MO_MA_COGSMargin_1">#REF!</definedName>
    <definedName name="z_3PODK70133_MO_MA_consensusestimatesadjustedebitdamargin">#REF!</definedName>
    <definedName name="z_3PODK70133_MO_MA_consensusestimatesgrossmargin">#REF!</definedName>
    <definedName name="z_3PODK70133_MO_MA_Costofhardwareandotherrevenue">#REF!</definedName>
    <definedName name="z_3PODK70133_MO_MA_costofsaasandlicenserevenue">#REF!</definedName>
    <definedName name="z_3PODK70133_MO_MA_EBITDAMargin">#REF!</definedName>
    <definedName name="z_3PODK70133_MO_MA_EoPFXRate">#REF!</definedName>
    <definedName name="z_3PODK70133_MO_MA_GAMargin">#REF!</definedName>
    <definedName name="z_3PODK70133_MO_MA_GAMargin_1">#REF!</definedName>
    <definedName name="z_3PODK70133_MO_MA_GrossMargin">#REF!</definedName>
    <definedName name="z_3PODK70133_MO_MA_GrossMargin_1">#REF!</definedName>
    <definedName name="z_3PODK70133_MO_MA_RDMargin">#REF!</definedName>
    <definedName name="z_3PODK70133_MO_MA_RDMargin_1">#REF!</definedName>
    <definedName name="z_3PODK70133_MO_MA_SMMargin">#REF!</definedName>
    <definedName name="z_3PODK70133_MO_MA_SMMargin_1">#REF!</definedName>
    <definedName name="z_3PODK70133_MO_MA_StockEoP">#REF!</definedName>
    <definedName name="z_3PODK70133_MO_MA_StockPriceTradingCurAvg">#REF!</definedName>
    <definedName name="z_3PODK70133_MO_OS_Accountspayableaccruedexpensesandothercurrentliabilities">#REF!</definedName>
    <definedName name="z_3PODK70133_MO_OS_AccountspayableaccruedexpensesandothercurrentliabilitiesYYChange">#REF!</definedName>
    <definedName name="z_3PODK70133_MO_OS_Accountsreceivablenet">#REF!</definedName>
    <definedName name="z_3PODK70133_MO_OS_AccountsreceivablenetYYChange">#REF!</definedName>
    <definedName name="z_3PODK70133_MO_OS_ADTLLCrevenuecontribution">#REF!</definedName>
    <definedName name="z_3PODK70133_MO_OS_AlarmcomHardwareandOtherrevenue">#REF!</definedName>
    <definedName name="z_3PODK70133_MO_OS_alarmcomrevenue">#REF!</definedName>
    <definedName name="z_3PODK70133_MO_OS_AlarmcomSaaSandLicenseRevenue">#REF!</definedName>
    <definedName name="z_3PODK70133_MO_OS_Alarmcomsegmentemployees">#REF!</definedName>
    <definedName name="z_3PODK70133_MO_OS_Averageofsubscribers">#REF!</definedName>
    <definedName name="z_3PODK70133_MO_OS_AverageSaaSRevenuePerSubscriber">#REF!</definedName>
    <definedName name="z_3PODK70133_MO_OS_BoPofsubscribers">#REF!</definedName>
    <definedName name="z_3PODK70133_MO_OS_BrinksHomeSecurityrevenuecontribution">#REF!</definedName>
    <definedName name="z_3PODK70133_MO_OS_CACpercustomer">#REF!</definedName>
    <definedName name="z_3PODK70133_MO_OS_Canalystcalculatedbillings">#REF!</definedName>
    <definedName name="z_3PODK70133_MO_OS_Canalystcalculatedbillingsgrowthyy">#REF!</definedName>
    <definedName name="z_3PODK70133_MO_OS_CommonStockOutstandingEoP">#REF!</definedName>
    <definedName name="z_3PODK70133_MO_OS_Contractassets">#REF!</definedName>
    <definedName name="z_3PODK70133_MO_OS_Contributionmargin">#REF!</definedName>
    <definedName name="z_3PODK70133_MO_OS_CoverPageCommonStockOutstandingEoP">#REF!</definedName>
    <definedName name="z_3PODK70133_MO_OS_CurrentGA">#REF!</definedName>
    <definedName name="z_3PODK70133_MO_OS_CurrentRD">#REF!</definedName>
    <definedName name="z_3PODK70133_MO_OS_CurrentSM">#REF!</definedName>
    <definedName name="z_3PODK70133_MO_OS_DateofCoverPageShareCount">#REF!</definedName>
    <definedName name="z_3PODK70133_MO_OS_EoPofsubscribers">#REF!</definedName>
    <definedName name="z_3PODK70133_MO_OS_FreeCashFlow">#REF!</definedName>
    <definedName name="z_3PODK70133_MO_OS_FreeCashFlowLTM">#REF!</definedName>
    <definedName name="z_3PODK70133_MO_OS_FreeCashFlowmarginLTM">#REF!</definedName>
    <definedName name="z_3PODK70133_MO_OS_GAChangeinacquisitionrelatedexpenses">#REF!</definedName>
    <definedName name="z_3PODK70133_MO_OS_GAChangeinadjustmentduetoincreaseinfairvalueofsubsidiarystockgrantedtoemployees">#REF!</definedName>
    <definedName name="z_3PODK70133_MO_OS_GAChangeincontingentconsiderationliability">#REF!</definedName>
    <definedName name="z_3PODK70133_MO_OS_GAChangeinexternalconsultantsexpensesfromAlarmcomsegment">#REF!</definedName>
    <definedName name="z_3PODK70133_MO_OS_GAChangeinexternalconsultantsexpensesfromothersegment">#REF!</definedName>
    <definedName name="z_3PODK70133_MO_OS_GAChangeinGAfromothersegment">#REF!</definedName>
    <definedName name="z_3PODK70133_MO_OS_GAChangeingenerallegalandaccountingfees">#REF!</definedName>
    <definedName name="z_3PODK70133_MO_OS_GAChangeinimpairmentexpenses">#REF!</definedName>
    <definedName name="z_3PODK70133_MO_OS_GAChangeininsurancerelatedcosts">#REF!</definedName>
    <definedName name="z_3PODK70133_MO_OS_GAChangeinlegalexpenseswithinAlarmcomsegment">#REF!</definedName>
    <definedName name="z_3PODK70133_MO_OS_GAChangeinoffsiteinternalstrategyandproductroadmapconferencefees">#REF!</definedName>
    <definedName name="z_3PODK70133_MO_OS_GAChangeinpersonnelrelatedcosts">#REF!</definedName>
    <definedName name="z_3PODK70133_MO_OS_GAChangeinprofessionalservices">#REF!</definedName>
    <definedName name="z_3PODK70133_MO_OS_GAChangeinprovisionforcreditlossesforAlarmcomsegment">#REF!</definedName>
    <definedName name="z_3PODK70133_MO_OS_GAChangeinprovisionforcreditlossesfromothersegment">#REF!</definedName>
    <definedName name="z_3PODK70133_MO_OS_GAChangeinrecruitingrelatedcosts">#REF!</definedName>
    <definedName name="z_3PODK70133_MO_OS_GAChangeinrentbaddebtreservefromothersegment">#REF!</definedName>
    <definedName name="z_3PODK70133_MO_OS_GAChangeinrentexpense">#REF!</definedName>
    <definedName name="z_3PODK70133_MO_OS_GAChangeinrentexpensefromothersegment">#REF!</definedName>
    <definedName name="z_3PODK70133_MO_OS_GAChangeinreversalofreserve">#REF!</definedName>
    <definedName name="z_3PODK70133_MO_OS_GAChangeinstockbasedcompensation">#REF!</definedName>
    <definedName name="z_3PODK70133_MO_OS_GAChangeintravelexpenses">#REF!</definedName>
    <definedName name="z_3PODK70133_MO_OS_GAChangepersonnelrelatedcostsfromothersegment">#REF!</definedName>
    <definedName name="z_3PODK70133_MO_OS_GAOthermarginalcosts">#REF!</definedName>
    <definedName name="z_3PODK70133_MO_OS_GMemployeecount">#REF!</definedName>
    <definedName name="z_3PODK70133_MO_OS_HardwareandotherCOGS">#REF!</definedName>
    <definedName name="z_3PODK70133_MO_OS_HardwareandOtherGrossMargin">#REF!</definedName>
    <definedName name="z_3PODK70133_MO_OS_HardwareandOtherGrossProfit">#REF!</definedName>
    <definedName name="z_3PODK70133_MO_OS_Hardwareandotherrevenue">#REF!</definedName>
    <definedName name="z_3PODK70133_MO_OS_Hardwareandotherrevenue_1">#REF!</definedName>
    <definedName name="z_3PODK70133_MO_OS_ImpliedARR">#REF!</definedName>
    <definedName name="z_3PODK70133_MO_OS_ImpliedCACpayback">#REF!</definedName>
    <definedName name="z_3PODK70133_MO_OS_ImpliedMagicNumber">#REF!</definedName>
    <definedName name="z_3PODK70133_MO_OS_ImpliedNetNewARR">#REF!</definedName>
    <definedName name="z_3PODK70133_MO_OS_intersegmentalarmcomrevenue">#REF!</definedName>
    <definedName name="z_3PODK70133_MO_OS_IntersegmentAlarmcomrevenueasofAlarmcomhardwarerevenue">#REF!</definedName>
    <definedName name="z_3PODK70133_MO_OS_IntersegmentOtherRevenue">#REF!</definedName>
    <definedName name="z_3PODK70133_MO_OS_IntersegmentOtherrevenueasofOtherhardwarerevenue">#REF!</definedName>
    <definedName name="z_3PODK70133_MO_OS_NetAddition">#REF!</definedName>
    <definedName name="z_3PODK70133_MO_OS_NumberofConnectedDevices">#REF!</definedName>
    <definedName name="z_3PODK70133_MO_OS_NumberofDataPointsinthelastyearalone">#REF!</definedName>
    <definedName name="z_3PODK70133_MO_OS_Numberofemployees">#REF!</definedName>
    <definedName name="z_3PODK70133_MO_OS_NumberofServiceProviders">#REF!</definedName>
    <definedName name="z_3PODK70133_MO_OS_OtherHardwareandOtherrevenue">#REF!</definedName>
    <definedName name="z_3PODK70133_MO_OS_OtherRevenue">#REF!</definedName>
    <definedName name="z_3PODK70133_MO_OS_OtherSaaSandlicenserevenue">"Deleted"</definedName>
    <definedName name="z_3PODK70133_MO_OS_OtherSaaSandLicenseRevenue_1">#REF!</definedName>
    <definedName name="z_3PODK70133_MO_OS_Othersegmentemployees">#REF!</definedName>
    <definedName name="z_3PODK70133_MO_OS_PreviousGA">#REF!</definedName>
    <definedName name="z_3PODK70133_MO_OS_PreviousRD">#REF!</definedName>
    <definedName name="z_3PODK70133_MO_OS_PreviousSM">#REF!</definedName>
    <definedName name="z_3PODK70133_MO_OS_PrimarySaaSandlicenserevenue">#REF!</definedName>
    <definedName name="z_3PODK70133_MO_OS_QQAverageSaaSRevenuePersubscriberGrowthRate">#REF!</definedName>
    <definedName name="z_3PODK70133_MO_OS_RDChangeinacquiredinprocessRD">#REF!</definedName>
    <definedName name="z_3PODK70133_MO_OS_RDChangeinexternalconsultantsexpenses">#REF!</definedName>
    <definedName name="z_3PODK70133_MO_OS_RDChangeinexternalconsultantsexpensesfromothersegment">#REF!</definedName>
    <definedName name="z_3PODK70133_MO_OS_RDChangeininprocessRD">#REF!</definedName>
    <definedName name="z_3PODK70133_MO_OS_RDChangeinpersonnelrelatedexpenses">#REF!</definedName>
    <definedName name="z_3PODK70133_MO_OS_RDChangeinpersonnelrelatedexpensesduetoadditionofemployeesfromPiperteam">#REF!</definedName>
    <definedName name="z_3PODK70133_MO_OS_RDChangeinpersonnelrelatedexpensesfromOthersegment">#REF!</definedName>
    <definedName name="z_3PODK70133_MO_OS_RDChangeinRDfromothersegment">#REF!</definedName>
    <definedName name="z_3PODK70133_MO_OS_RDChangeinRDfromrenegotiationofacontract">#REF!</definedName>
    <definedName name="z_3PODK70133_MO_OS_RDemployeecount">#REF!</definedName>
    <definedName name="z_3PODK70133_MO_OS_RDOthermarginalcosts">#REF!</definedName>
    <definedName name="z_3PODK70133_MO_OS_RevenuegrowthLTM">#REF!</definedName>
    <definedName name="z_3PODK70133_MO_OS_RevenueLTM">#REF!</definedName>
    <definedName name="z_3PODK70133_MO_OS_saasandlicensecogs">#REF!</definedName>
    <definedName name="z_3PODK70133_MO_OS_saasandlicensegrossmargin">#REF!</definedName>
    <definedName name="z_3PODK70133_MO_OS_saasandlicensegrossprofit">#REF!</definedName>
    <definedName name="z_3PODK70133_MO_OS_saasandlicenserevenue">#REF!</definedName>
    <definedName name="z_3PODK70133_MO_OS_saasandlicenserevenue_1">#REF!</definedName>
    <definedName name="z_3PODK70133_MO_OS_saasandlicenserevenuerenewalrate">#REF!</definedName>
    <definedName name="z_3PODK70133_MO_OS_SMChangeinadvertisingandtradeshowparticipation">#REF!</definedName>
  </definedNames>
  <calcPr calcId="191028" concurrentCalc="0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34" roundtripDataSignature="AMtx7mjd8Nc5ELq9Uwv054sE35Acr6LGfw=="/>
    </ext>
  </extLst>
</workbook>
</file>

<file path=xl/calcChain.xml><?xml version="1.0" encoding="utf-8"?>
<calcChain xmlns="http://schemas.openxmlformats.org/spreadsheetml/2006/main">
  <c r="F11" i="31" l="1"/>
  <c r="K16" i="30"/>
  <c r="F34" i="2"/>
  <c r="G15" i="36"/>
  <c r="G34" i="2"/>
  <c r="H34" i="2"/>
  <c r="I34" i="2"/>
  <c r="J34" i="2"/>
  <c r="J32" i="2"/>
  <c r="J31" i="2"/>
  <c r="J49" i="2"/>
  <c r="O6" i="3"/>
  <c r="O7" i="3"/>
  <c r="O8" i="3"/>
  <c r="O12" i="3"/>
  <c r="H33" i="3"/>
  <c r="H34" i="3"/>
  <c r="F32" i="2"/>
  <c r="F31" i="2"/>
  <c r="F49" i="2"/>
  <c r="K6" i="3"/>
  <c r="K7" i="3"/>
  <c r="K8" i="3"/>
  <c r="K12" i="3"/>
  <c r="K14" i="3"/>
  <c r="G32" i="2"/>
  <c r="G31" i="2"/>
  <c r="G49" i="2"/>
  <c r="L6" i="3"/>
  <c r="L7" i="3"/>
  <c r="L8" i="3"/>
  <c r="L12" i="3"/>
  <c r="L14" i="3"/>
  <c r="H32" i="2"/>
  <c r="H31" i="2"/>
  <c r="H49" i="2"/>
  <c r="M6" i="3"/>
  <c r="M7" i="3"/>
  <c r="M8" i="3"/>
  <c r="M12" i="3"/>
  <c r="M14" i="3"/>
  <c r="I32" i="2"/>
  <c r="I31" i="2"/>
  <c r="I49" i="2"/>
  <c r="N6" i="3"/>
  <c r="N7" i="3"/>
  <c r="N8" i="3"/>
  <c r="N12" i="3"/>
  <c r="N14" i="3"/>
  <c r="O14" i="3"/>
  <c r="H15" i="3"/>
  <c r="H35" i="3"/>
  <c r="H38" i="3"/>
  <c r="H40" i="3"/>
  <c r="G14" i="36"/>
  <c r="G16" i="36"/>
  <c r="G17" i="36"/>
  <c r="F25" i="2"/>
  <c r="C5" i="30"/>
  <c r="D5" i="30"/>
  <c r="E5" i="30"/>
  <c r="F5" i="30"/>
  <c r="G5" i="30"/>
  <c r="H5" i="30"/>
  <c r="G20" i="30"/>
  <c r="G23" i="30"/>
  <c r="G30" i="30"/>
  <c r="G31" i="30"/>
  <c r="F35" i="31"/>
  <c r="F34" i="31"/>
  <c r="G35" i="31"/>
  <c r="G34" i="31"/>
  <c r="F30" i="31"/>
  <c r="F29" i="31"/>
  <c r="G30" i="31"/>
  <c r="G29" i="31"/>
  <c r="F25" i="31"/>
  <c r="F24" i="31"/>
  <c r="G27" i="31"/>
  <c r="G28" i="31"/>
  <c r="G26" i="31"/>
  <c r="G25" i="31"/>
  <c r="G24" i="31"/>
  <c r="G39" i="31"/>
  <c r="L13" i="30"/>
  <c r="F12" i="31"/>
  <c r="G12" i="31"/>
  <c r="G11" i="31"/>
  <c r="L15" i="30"/>
  <c r="F17" i="31"/>
  <c r="F16" i="31"/>
  <c r="G17" i="31"/>
  <c r="G16" i="31"/>
  <c r="L17" i="30"/>
  <c r="L19" i="30"/>
  <c r="L20" i="30"/>
  <c r="L24" i="30"/>
  <c r="H35" i="31"/>
  <c r="H34" i="31"/>
  <c r="H30" i="31"/>
  <c r="H29" i="31"/>
  <c r="H27" i="31"/>
  <c r="H28" i="31"/>
  <c r="H26" i="31"/>
  <c r="H25" i="31"/>
  <c r="H24" i="31"/>
  <c r="H39" i="31"/>
  <c r="M13" i="30"/>
  <c r="H12" i="31"/>
  <c r="H11" i="31"/>
  <c r="M15" i="30"/>
  <c r="H17" i="31"/>
  <c r="H16" i="31"/>
  <c r="M17" i="30"/>
  <c r="M19" i="30"/>
  <c r="M20" i="30"/>
  <c r="M24" i="30"/>
  <c r="I35" i="31"/>
  <c r="I34" i="31"/>
  <c r="I30" i="31"/>
  <c r="I29" i="31"/>
  <c r="I27" i="31"/>
  <c r="I28" i="31"/>
  <c r="I26" i="31"/>
  <c r="I25" i="31"/>
  <c r="I24" i="31"/>
  <c r="I39" i="31"/>
  <c r="N13" i="30"/>
  <c r="I12" i="31"/>
  <c r="I11" i="31"/>
  <c r="N15" i="30"/>
  <c r="I19" i="31"/>
  <c r="I20" i="31"/>
  <c r="I18" i="31"/>
  <c r="I17" i="31"/>
  <c r="I16" i="31"/>
  <c r="N17" i="30"/>
  <c r="N19" i="30"/>
  <c r="N20" i="30"/>
  <c r="N24" i="30"/>
  <c r="J35" i="31"/>
  <c r="J34" i="31"/>
  <c r="J30" i="31"/>
  <c r="J29" i="31"/>
  <c r="J27" i="31"/>
  <c r="J28" i="31"/>
  <c r="J26" i="31"/>
  <c r="J25" i="31"/>
  <c r="J24" i="31"/>
  <c r="J39" i="31"/>
  <c r="O13" i="30"/>
  <c r="J12" i="31"/>
  <c r="J11" i="31"/>
  <c r="O15" i="30"/>
  <c r="J19" i="31"/>
  <c r="J20" i="31"/>
  <c r="J18" i="31"/>
  <c r="J17" i="31"/>
  <c r="J16" i="31"/>
  <c r="O17" i="30"/>
  <c r="O19" i="30"/>
  <c r="O20" i="30"/>
  <c r="O24" i="30"/>
  <c r="F39" i="31"/>
  <c r="K13" i="30"/>
  <c r="K15" i="30"/>
  <c r="K17" i="30"/>
  <c r="K19" i="30"/>
  <c r="K20" i="30"/>
  <c r="K24" i="30"/>
  <c r="H24" i="3"/>
  <c r="C7" i="34"/>
  <c r="G26" i="34"/>
  <c r="C27" i="34"/>
  <c r="G27" i="34"/>
  <c r="G28" i="34"/>
  <c r="G29" i="34"/>
  <c r="G30" i="34"/>
  <c r="G32" i="34"/>
  <c r="C6" i="34"/>
  <c r="E29" i="34"/>
  <c r="E30" i="34"/>
  <c r="E28" i="34"/>
  <c r="E27" i="34"/>
  <c r="G13" i="2"/>
  <c r="G21" i="31"/>
  <c r="G11" i="2"/>
  <c r="G15" i="2"/>
  <c r="F26" i="2"/>
  <c r="G26" i="2"/>
  <c r="G24" i="2"/>
  <c r="G23" i="2"/>
  <c r="L21" i="30"/>
  <c r="H13" i="2"/>
  <c r="H21" i="31"/>
  <c r="H11" i="2"/>
  <c r="H15" i="2"/>
  <c r="H26" i="2"/>
  <c r="H24" i="2"/>
  <c r="H23" i="2"/>
  <c r="M21" i="30"/>
  <c r="I13" i="2"/>
  <c r="I21" i="31"/>
  <c r="I11" i="2"/>
  <c r="I15" i="2"/>
  <c r="I26" i="2"/>
  <c r="I24" i="2"/>
  <c r="I23" i="2"/>
  <c r="N21" i="30"/>
  <c r="J13" i="2"/>
  <c r="J21" i="31"/>
  <c r="J11" i="2"/>
  <c r="J15" i="2"/>
  <c r="J26" i="2"/>
  <c r="J24" i="2"/>
  <c r="J23" i="2"/>
  <c r="O21" i="30"/>
  <c r="F13" i="2"/>
  <c r="F21" i="31"/>
  <c r="F11" i="2"/>
  <c r="F15" i="2"/>
  <c r="F24" i="2"/>
  <c r="F23" i="2"/>
  <c r="K21" i="30"/>
  <c r="C37" i="2"/>
  <c r="C13" i="2"/>
  <c r="C11" i="2"/>
  <c r="C15" i="2"/>
  <c r="C38" i="2"/>
  <c r="D37" i="2"/>
  <c r="D13" i="2"/>
  <c r="D11" i="2"/>
  <c r="D15" i="2"/>
  <c r="D38" i="2"/>
  <c r="E37" i="2"/>
  <c r="E13" i="2"/>
  <c r="E11" i="2"/>
  <c r="E15" i="2"/>
  <c r="E38" i="2"/>
  <c r="F40" i="2"/>
  <c r="G40" i="2"/>
  <c r="H40" i="2"/>
  <c r="I40" i="2"/>
  <c r="I38" i="2"/>
  <c r="I37" i="2"/>
  <c r="N26" i="30"/>
  <c r="N27" i="30"/>
  <c r="C43" i="2"/>
  <c r="C44" i="2"/>
  <c r="D43" i="2"/>
  <c r="D44" i="2"/>
  <c r="E43" i="2"/>
  <c r="E44" i="2"/>
  <c r="F46" i="2"/>
  <c r="G46" i="2"/>
  <c r="H46" i="2"/>
  <c r="I46" i="2"/>
  <c r="I44" i="2"/>
  <c r="I43" i="2"/>
  <c r="N28" i="30"/>
  <c r="N29" i="30"/>
  <c r="N30" i="30"/>
  <c r="N31" i="30"/>
  <c r="L22" i="30"/>
  <c r="M22" i="30"/>
  <c r="N22" i="30"/>
  <c r="O22" i="30"/>
  <c r="K22" i="30"/>
  <c r="J21" i="30"/>
  <c r="I21" i="30"/>
  <c r="H21" i="30"/>
  <c r="E26" i="34"/>
  <c r="D66" i="2"/>
  <c r="D67" i="2"/>
  <c r="E66" i="2"/>
  <c r="E67" i="2"/>
  <c r="F69" i="2"/>
  <c r="G69" i="2"/>
  <c r="H69" i="2"/>
  <c r="I69" i="2"/>
  <c r="J69" i="2"/>
  <c r="F67" i="2"/>
  <c r="F66" i="2"/>
  <c r="E79" i="2"/>
  <c r="F79" i="2"/>
  <c r="C73" i="2"/>
  <c r="C79" i="2"/>
  <c r="C74" i="2"/>
  <c r="D73" i="2"/>
  <c r="D79" i="2"/>
  <c r="D74" i="2"/>
  <c r="E73" i="2"/>
  <c r="E74" i="2"/>
  <c r="F76" i="2"/>
  <c r="F74" i="2"/>
  <c r="F73" i="2"/>
  <c r="H19" i="3"/>
  <c r="H25" i="3"/>
  <c r="H27" i="3"/>
  <c r="H31" i="3"/>
  <c r="H37" i="3"/>
  <c r="L49" i="35"/>
  <c r="K49" i="35"/>
  <c r="J49" i="35"/>
  <c r="L48" i="35"/>
  <c r="K48" i="35"/>
  <c r="J48" i="35"/>
  <c r="L37" i="35"/>
  <c r="K37" i="35"/>
  <c r="J37" i="35"/>
  <c r="L36" i="35"/>
  <c r="K36" i="35"/>
  <c r="J36" i="35"/>
  <c r="L21" i="35"/>
  <c r="K21" i="35"/>
  <c r="J21" i="35"/>
  <c r="L20" i="35"/>
  <c r="K20" i="35"/>
  <c r="J20" i="35"/>
  <c r="I26" i="30"/>
  <c r="I28" i="30"/>
  <c r="I30" i="30"/>
  <c r="I13" i="30"/>
  <c r="I15" i="30"/>
  <c r="I17" i="30"/>
  <c r="I19" i="30"/>
  <c r="I20" i="30"/>
  <c r="I31" i="30"/>
  <c r="J26" i="30"/>
  <c r="J28" i="30"/>
  <c r="J30" i="30"/>
  <c r="J13" i="30"/>
  <c r="J15" i="30"/>
  <c r="J17" i="30"/>
  <c r="J19" i="30"/>
  <c r="J20" i="30"/>
  <c r="J31" i="30"/>
  <c r="F38" i="2"/>
  <c r="F37" i="2"/>
  <c r="K26" i="30"/>
  <c r="F44" i="2"/>
  <c r="F43" i="2"/>
  <c r="K28" i="30"/>
  <c r="K30" i="30"/>
  <c r="K31" i="30"/>
  <c r="G38" i="2"/>
  <c r="G37" i="2"/>
  <c r="L26" i="30"/>
  <c r="G44" i="2"/>
  <c r="G43" i="2"/>
  <c r="L28" i="30"/>
  <c r="L30" i="30"/>
  <c r="L31" i="30"/>
  <c r="H38" i="2"/>
  <c r="H37" i="2"/>
  <c r="M26" i="30"/>
  <c r="H44" i="2"/>
  <c r="H43" i="2"/>
  <c r="M28" i="30"/>
  <c r="M30" i="30"/>
  <c r="M31" i="30"/>
  <c r="J40" i="2"/>
  <c r="J38" i="2"/>
  <c r="J37" i="2"/>
  <c r="O26" i="30"/>
  <c r="J46" i="2"/>
  <c r="J44" i="2"/>
  <c r="J43" i="2"/>
  <c r="O28" i="30"/>
  <c r="O30" i="30"/>
  <c r="O31" i="30"/>
  <c r="H26" i="30"/>
  <c r="H28" i="30"/>
  <c r="H30" i="30"/>
  <c r="H13" i="30"/>
  <c r="H15" i="30"/>
  <c r="H17" i="30"/>
  <c r="H19" i="30"/>
  <c r="H20" i="30"/>
  <c r="H31" i="30"/>
  <c r="I42" i="31"/>
  <c r="D43" i="31"/>
  <c r="E43" i="31"/>
  <c r="F43" i="31"/>
  <c r="G43" i="31"/>
  <c r="H43" i="31"/>
  <c r="C43" i="31"/>
  <c r="I22" i="30"/>
  <c r="J22" i="30"/>
  <c r="H22" i="30"/>
  <c r="I27" i="30"/>
  <c r="H27" i="30"/>
  <c r="C30" i="30"/>
  <c r="D30" i="30"/>
  <c r="E30" i="30"/>
  <c r="F30" i="30"/>
  <c r="J27" i="30"/>
  <c r="K27" i="30"/>
  <c r="L27" i="30"/>
  <c r="M27" i="30"/>
  <c r="O27" i="30"/>
  <c r="J29" i="30"/>
  <c r="K29" i="30"/>
  <c r="L29" i="30"/>
  <c r="M29" i="30"/>
  <c r="O29" i="30"/>
  <c r="I29" i="30"/>
  <c r="H29" i="30"/>
  <c r="J18" i="30"/>
  <c r="K18" i="30"/>
  <c r="L18" i="30"/>
  <c r="M18" i="30"/>
  <c r="N18" i="30"/>
  <c r="O18" i="30"/>
  <c r="I18" i="30"/>
  <c r="H18" i="30"/>
  <c r="J16" i="30"/>
  <c r="L16" i="30"/>
  <c r="M16" i="30"/>
  <c r="N16" i="30"/>
  <c r="O16" i="30"/>
  <c r="I16" i="30"/>
  <c r="H16" i="30"/>
  <c r="J12" i="30"/>
  <c r="K12" i="30"/>
  <c r="L12" i="30"/>
  <c r="M12" i="30"/>
  <c r="N12" i="30"/>
  <c r="O12" i="30"/>
  <c r="I12" i="30"/>
  <c r="H12" i="30"/>
  <c r="J11" i="30"/>
  <c r="K11" i="30"/>
  <c r="L11" i="30"/>
  <c r="M11" i="30"/>
  <c r="N11" i="30"/>
  <c r="O11" i="30"/>
  <c r="I11" i="30"/>
  <c r="H11" i="30"/>
  <c r="J10" i="30"/>
  <c r="K10" i="30"/>
  <c r="L10" i="30"/>
  <c r="M10" i="30"/>
  <c r="N10" i="30"/>
  <c r="O10" i="30"/>
  <c r="I10" i="30"/>
  <c r="H10" i="30"/>
  <c r="J9" i="30"/>
  <c r="K9" i="30"/>
  <c r="L9" i="30"/>
  <c r="M9" i="30"/>
  <c r="N9" i="30"/>
  <c r="O9" i="30"/>
  <c r="I9" i="30"/>
  <c r="H9" i="30"/>
  <c r="J8" i="30"/>
  <c r="K8" i="30"/>
  <c r="L8" i="30"/>
  <c r="M8" i="30"/>
  <c r="N8" i="30"/>
  <c r="O8" i="30"/>
  <c r="I8" i="30"/>
  <c r="H8" i="30"/>
  <c r="J7" i="30"/>
  <c r="K7" i="30"/>
  <c r="L7" i="30"/>
  <c r="M7" i="30"/>
  <c r="N7" i="30"/>
  <c r="O7" i="30"/>
  <c r="I7" i="30"/>
  <c r="H7" i="30"/>
  <c r="D23" i="2"/>
  <c r="D31" i="2"/>
  <c r="D49" i="2"/>
  <c r="I6" i="3"/>
  <c r="I7" i="3"/>
  <c r="E23" i="2"/>
  <c r="E31" i="2"/>
  <c r="E49" i="2"/>
  <c r="J6" i="3"/>
  <c r="J7" i="3"/>
  <c r="C31" i="2"/>
  <c r="C32" i="2"/>
  <c r="D32" i="2"/>
  <c r="E32" i="2"/>
  <c r="C23" i="2"/>
  <c r="C49" i="2"/>
  <c r="H6" i="3"/>
  <c r="H7" i="3"/>
  <c r="C57" i="2"/>
  <c r="C58" i="2"/>
  <c r="D57" i="2"/>
  <c r="D58" i="2"/>
  <c r="E57" i="2"/>
  <c r="E58" i="2"/>
  <c r="F60" i="2"/>
  <c r="G60" i="2"/>
  <c r="H60" i="2"/>
  <c r="I60" i="2"/>
  <c r="J60" i="2"/>
  <c r="H36" i="3"/>
  <c r="J58" i="2"/>
  <c r="J57" i="2"/>
  <c r="I58" i="2"/>
  <c r="I57" i="2"/>
  <c r="O10" i="3"/>
  <c r="C66" i="2"/>
  <c r="C67" i="2"/>
  <c r="F80" i="2"/>
  <c r="F81" i="2"/>
  <c r="G67" i="2"/>
  <c r="G66" i="2"/>
  <c r="G79" i="2"/>
  <c r="G76" i="2"/>
  <c r="G74" i="2"/>
  <c r="G73" i="2"/>
  <c r="G80" i="2"/>
  <c r="G81" i="2"/>
  <c r="H67" i="2"/>
  <c r="H66" i="2"/>
  <c r="H79" i="2"/>
  <c r="H76" i="2"/>
  <c r="H74" i="2"/>
  <c r="H73" i="2"/>
  <c r="H80" i="2"/>
  <c r="H81" i="2"/>
  <c r="I67" i="2"/>
  <c r="I66" i="2"/>
  <c r="I79" i="2"/>
  <c r="I76" i="2"/>
  <c r="I74" i="2"/>
  <c r="I73" i="2"/>
  <c r="I80" i="2"/>
  <c r="I81" i="2"/>
  <c r="J67" i="2"/>
  <c r="J66" i="2"/>
  <c r="J79" i="2"/>
  <c r="J76" i="2"/>
  <c r="J74" i="2"/>
  <c r="J73" i="2"/>
  <c r="O9" i="3"/>
  <c r="O11" i="3"/>
  <c r="C80" i="2"/>
  <c r="G70" i="2"/>
  <c r="H70" i="2"/>
  <c r="I70" i="2"/>
  <c r="J70" i="2"/>
  <c r="F70" i="2"/>
  <c r="G68" i="2"/>
  <c r="H68" i="2"/>
  <c r="I68" i="2"/>
  <c r="J68" i="2"/>
  <c r="F68" i="2"/>
  <c r="G61" i="2"/>
  <c r="H61" i="2"/>
  <c r="I61" i="2"/>
  <c r="J61" i="2"/>
  <c r="G59" i="2"/>
  <c r="H59" i="2"/>
  <c r="I59" i="2"/>
  <c r="J59" i="2"/>
  <c r="F61" i="2"/>
  <c r="F59" i="2"/>
  <c r="F58" i="2"/>
  <c r="F57" i="2"/>
  <c r="G47" i="2"/>
  <c r="H47" i="2"/>
  <c r="I47" i="2"/>
  <c r="J47" i="2"/>
  <c r="G45" i="2"/>
  <c r="H45" i="2"/>
  <c r="I45" i="2"/>
  <c r="J45" i="2"/>
  <c r="F47" i="2"/>
  <c r="F45" i="2"/>
  <c r="J41" i="2"/>
  <c r="J39" i="2"/>
  <c r="I41" i="2"/>
  <c r="I39" i="2"/>
  <c r="H41" i="2"/>
  <c r="H39" i="2"/>
  <c r="G41" i="2"/>
  <c r="G39" i="2"/>
  <c r="F41" i="2"/>
  <c r="F39" i="2"/>
  <c r="C5" i="3"/>
  <c r="D5" i="3"/>
  <c r="E5" i="3"/>
  <c r="F5" i="3"/>
  <c r="G5" i="3"/>
  <c r="H5" i="3"/>
  <c r="C30" i="31"/>
  <c r="D30" i="31"/>
  <c r="F32" i="31"/>
  <c r="G32" i="31"/>
  <c r="H32" i="31"/>
  <c r="I32" i="31"/>
  <c r="J32" i="31"/>
  <c r="G33" i="31"/>
  <c r="H33" i="31"/>
  <c r="I33" i="31"/>
  <c r="J33" i="31"/>
  <c r="G31" i="31"/>
  <c r="H31" i="31"/>
  <c r="I31" i="31"/>
  <c r="J31" i="31"/>
  <c r="G37" i="31"/>
  <c r="H37" i="31"/>
  <c r="I37" i="31"/>
  <c r="J37" i="31"/>
  <c r="E25" i="31"/>
  <c r="F27" i="31"/>
  <c r="I36" i="31"/>
  <c r="J36" i="31"/>
  <c r="I38" i="31"/>
  <c r="J38" i="31"/>
  <c r="F36" i="31"/>
  <c r="G36" i="31"/>
  <c r="H36" i="31"/>
  <c r="F38" i="31"/>
  <c r="G38" i="31"/>
  <c r="H38" i="31"/>
  <c r="C12" i="31"/>
  <c r="D12" i="31"/>
  <c r="E12" i="31"/>
  <c r="F14" i="31"/>
  <c r="C17" i="31"/>
  <c r="D17" i="31"/>
  <c r="E17" i="31"/>
  <c r="F19" i="31"/>
  <c r="G14" i="31"/>
  <c r="G19" i="31"/>
  <c r="H14" i="31"/>
  <c r="H19" i="31"/>
  <c r="I14" i="31"/>
  <c r="J14" i="31"/>
  <c r="F33" i="31"/>
  <c r="F31" i="31"/>
  <c r="I13" i="31"/>
  <c r="J13" i="31"/>
  <c r="J15" i="31"/>
  <c r="I15" i="31"/>
  <c r="F28" i="31"/>
  <c r="F26" i="31"/>
  <c r="H18" i="31"/>
  <c r="H20" i="31"/>
  <c r="G20" i="31"/>
  <c r="G18" i="31"/>
  <c r="F20" i="31"/>
  <c r="F18" i="31"/>
  <c r="E35" i="31"/>
  <c r="D35" i="31"/>
  <c r="C35" i="31"/>
  <c r="E30" i="31"/>
  <c r="D25" i="31"/>
  <c r="C25" i="31"/>
  <c r="G13" i="31"/>
  <c r="H13" i="31"/>
  <c r="G15" i="31"/>
  <c r="H15" i="31"/>
  <c r="F15" i="31"/>
  <c r="F13" i="31"/>
  <c r="O13" i="3"/>
  <c r="N13" i="3"/>
  <c r="M13" i="3"/>
  <c r="L13" i="3"/>
  <c r="K13" i="3"/>
  <c r="F20" i="30"/>
  <c r="F23" i="30"/>
  <c r="F31" i="30"/>
  <c r="E20" i="30"/>
  <c r="E23" i="30"/>
  <c r="E31" i="30"/>
  <c r="D20" i="30"/>
  <c r="D23" i="30"/>
  <c r="D31" i="30"/>
  <c r="C20" i="30"/>
  <c r="C23" i="30"/>
  <c r="C31" i="30"/>
  <c r="I5" i="30"/>
  <c r="J5" i="30"/>
  <c r="K5" i="30"/>
  <c r="L5" i="30"/>
  <c r="M5" i="30"/>
  <c r="N5" i="30"/>
  <c r="O5" i="30"/>
  <c r="I11" i="6"/>
  <c r="J11" i="6"/>
  <c r="H11" i="6"/>
  <c r="I15" i="6"/>
  <c r="J15" i="6"/>
  <c r="H15" i="6"/>
  <c r="D14" i="2"/>
  <c r="E14" i="2"/>
  <c r="I9" i="3"/>
  <c r="J9" i="3"/>
  <c r="H9" i="3"/>
  <c r="F77" i="2"/>
  <c r="F75" i="2"/>
  <c r="J8" i="3"/>
  <c r="I8" i="3"/>
  <c r="J16" i="6"/>
  <c r="I16" i="6"/>
  <c r="H16" i="6"/>
  <c r="J10" i="3"/>
  <c r="C12" i="3"/>
  <c r="D12" i="3"/>
  <c r="E12" i="3"/>
  <c r="F12" i="3"/>
  <c r="G12" i="3"/>
  <c r="I5" i="3"/>
  <c r="J5" i="3"/>
  <c r="K5" i="3"/>
  <c r="L5" i="3"/>
  <c r="M5" i="3"/>
  <c r="N5" i="3"/>
  <c r="O5" i="3"/>
  <c r="G75" i="2"/>
  <c r="D12" i="2"/>
  <c r="G77" i="2"/>
  <c r="J14" i="2"/>
  <c r="I14" i="2"/>
  <c r="H14" i="2"/>
  <c r="G14" i="2"/>
  <c r="K9" i="6"/>
  <c r="F14" i="2"/>
  <c r="E12" i="2"/>
  <c r="F12" i="2"/>
  <c r="J11" i="3"/>
  <c r="I11" i="3"/>
  <c r="H11" i="3"/>
  <c r="I10" i="3"/>
  <c r="I75" i="2"/>
  <c r="H75" i="2"/>
  <c r="I77" i="2"/>
  <c r="H77" i="2"/>
  <c r="D54" i="2"/>
  <c r="E54" i="2"/>
  <c r="F54" i="2"/>
  <c r="G54" i="2"/>
  <c r="H54" i="2"/>
  <c r="I54" i="2"/>
  <c r="J54" i="2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C34" i="5"/>
  <c r="D34" i="5"/>
  <c r="E34" i="5"/>
  <c r="F34" i="5"/>
  <c r="G34" i="5"/>
  <c r="H34" i="5"/>
  <c r="I34" i="5"/>
  <c r="J34" i="5"/>
  <c r="I56" i="7"/>
  <c r="J56" i="7"/>
  <c r="H56" i="7"/>
  <c r="H25" i="6"/>
  <c r="I20" i="6"/>
  <c r="J20" i="6"/>
  <c r="H20" i="6"/>
  <c r="P17" i="6"/>
  <c r="O17" i="6"/>
  <c r="N17" i="6"/>
  <c r="M17" i="6"/>
  <c r="L17" i="6"/>
  <c r="K17" i="6"/>
  <c r="Z21" i="7"/>
  <c r="AA21" i="7"/>
  <c r="AB21" i="7"/>
  <c r="AC21" i="7"/>
  <c r="AD21" i="7"/>
  <c r="G54" i="7"/>
  <c r="F54" i="7"/>
  <c r="E54" i="7"/>
  <c r="D54" i="7"/>
  <c r="Z52" i="7"/>
  <c r="AA52" i="7"/>
  <c r="AB52" i="7"/>
  <c r="AC52" i="7"/>
  <c r="AD52" i="7"/>
  <c r="Z51" i="7"/>
  <c r="AA51" i="7"/>
  <c r="AB51" i="7"/>
  <c r="AC51" i="7"/>
  <c r="AD51" i="7"/>
  <c r="G44" i="7"/>
  <c r="F44" i="7"/>
  <c r="E44" i="7"/>
  <c r="D44" i="7"/>
  <c r="C56" i="7"/>
  <c r="Z43" i="7"/>
  <c r="AA43" i="7"/>
  <c r="AB43" i="7"/>
  <c r="AC43" i="7"/>
  <c r="AD43" i="7"/>
  <c r="Z42" i="7"/>
  <c r="AA42" i="7"/>
  <c r="AB42" i="7"/>
  <c r="AC42" i="7"/>
  <c r="AD42" i="7"/>
  <c r="G34" i="7"/>
  <c r="G35" i="7"/>
  <c r="F34" i="7"/>
  <c r="E34" i="7"/>
  <c r="D34" i="7"/>
  <c r="AD33" i="7"/>
  <c r="AC33" i="7"/>
  <c r="AB33" i="7"/>
  <c r="AA33" i="7"/>
  <c r="Z33" i="7"/>
  <c r="G24" i="7"/>
  <c r="F24" i="7"/>
  <c r="E24" i="7"/>
  <c r="D24" i="7"/>
  <c r="Z20" i="7"/>
  <c r="AA20" i="7"/>
  <c r="AB20" i="7"/>
  <c r="AC20" i="7"/>
  <c r="AD20" i="7"/>
  <c r="G15" i="7"/>
  <c r="F15" i="7"/>
  <c r="E15" i="7"/>
  <c r="D15" i="7"/>
  <c r="Z13" i="7"/>
  <c r="AA13" i="7"/>
  <c r="AB13" i="7"/>
  <c r="AC13" i="7"/>
  <c r="AD13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J25" i="6"/>
  <c r="I25" i="6"/>
  <c r="G25" i="6"/>
  <c r="F25" i="6"/>
  <c r="E25" i="6"/>
  <c r="D25" i="6"/>
  <c r="C25" i="6"/>
  <c r="G20" i="6"/>
  <c r="F20" i="6"/>
  <c r="E20" i="6"/>
  <c r="D20" i="6"/>
  <c r="C20" i="6"/>
  <c r="G16" i="6"/>
  <c r="F16" i="6"/>
  <c r="E16" i="6"/>
  <c r="D16" i="6"/>
  <c r="C16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D7" i="2"/>
  <c r="E7" i="2"/>
  <c r="F7" i="2"/>
  <c r="G7" i="2"/>
  <c r="H7" i="2"/>
  <c r="I7" i="2"/>
  <c r="J7" i="2"/>
  <c r="F27" i="2"/>
  <c r="J75" i="2"/>
  <c r="J77" i="2"/>
  <c r="G12" i="2"/>
  <c r="D35" i="7"/>
  <c r="D25" i="7"/>
  <c r="E25" i="7"/>
  <c r="G45" i="7"/>
  <c r="F25" i="7"/>
  <c r="G25" i="7"/>
  <c r="G47" i="7"/>
  <c r="H26" i="6"/>
  <c r="D24" i="2"/>
  <c r="D19" i="2"/>
  <c r="C59" i="7"/>
  <c r="E26" i="6"/>
  <c r="C26" i="6"/>
  <c r="D26" i="6"/>
  <c r="F26" i="6"/>
  <c r="G59" i="7"/>
  <c r="G26" i="6"/>
  <c r="I59" i="7"/>
  <c r="I26" i="6"/>
  <c r="J26" i="6"/>
  <c r="D59" i="7"/>
  <c r="E59" i="7"/>
  <c r="F59" i="7"/>
  <c r="G56" i="7"/>
  <c r="D45" i="7"/>
  <c r="H59" i="7"/>
  <c r="J59" i="7"/>
  <c r="E35" i="7"/>
  <c r="E45" i="7"/>
  <c r="E56" i="7"/>
  <c r="F35" i="7"/>
  <c r="F45" i="7"/>
  <c r="D47" i="7"/>
  <c r="E47" i="7"/>
  <c r="F47" i="7"/>
  <c r="H12" i="2"/>
  <c r="J31" i="6"/>
  <c r="I31" i="6"/>
  <c r="I12" i="3"/>
  <c r="H31" i="6"/>
  <c r="H33" i="6"/>
  <c r="H8" i="3"/>
  <c r="H12" i="3"/>
  <c r="D18" i="2"/>
  <c r="D16" i="2"/>
  <c r="C18" i="2"/>
  <c r="E19" i="2"/>
  <c r="C19" i="2"/>
  <c r="F56" i="7"/>
  <c r="D56" i="7"/>
  <c r="D31" i="6"/>
  <c r="E24" i="2"/>
  <c r="E16" i="2"/>
  <c r="G31" i="6"/>
  <c r="G27" i="2"/>
  <c r="G25" i="2"/>
  <c r="E18" i="2"/>
  <c r="F31" i="6"/>
  <c r="C24" i="2"/>
  <c r="D50" i="2"/>
  <c r="E50" i="2"/>
  <c r="C31" i="6"/>
  <c r="E31" i="6"/>
  <c r="I12" i="2"/>
  <c r="J12" i="3"/>
  <c r="F33" i="2"/>
  <c r="F33" i="6"/>
  <c r="D33" i="6"/>
  <c r="E33" i="6"/>
  <c r="C33" i="6"/>
  <c r="H25" i="2"/>
  <c r="H27" i="2"/>
  <c r="G33" i="6"/>
  <c r="I33" i="6"/>
  <c r="I10" i="5"/>
  <c r="J33" i="6"/>
  <c r="K11" i="3"/>
  <c r="K10" i="3"/>
  <c r="J12" i="2"/>
  <c r="L11" i="3"/>
  <c r="J10" i="5"/>
  <c r="J39" i="6"/>
  <c r="F35" i="2"/>
  <c r="G39" i="6"/>
  <c r="E39" i="6"/>
  <c r="F39" i="6"/>
  <c r="I25" i="2"/>
  <c r="I27" i="2"/>
  <c r="D39" i="6"/>
  <c r="H39" i="6"/>
  <c r="C39" i="6"/>
  <c r="I39" i="6"/>
  <c r="K22" i="6"/>
  <c r="G58" i="2"/>
  <c r="G57" i="2"/>
  <c r="L10" i="3"/>
  <c r="M11" i="3"/>
  <c r="G35" i="2"/>
  <c r="G33" i="2"/>
  <c r="H33" i="2"/>
  <c r="H35" i="2"/>
  <c r="J25" i="2"/>
  <c r="J27" i="2"/>
  <c r="N11" i="3"/>
  <c r="H58" i="2"/>
  <c r="H57" i="2"/>
  <c r="M10" i="3"/>
  <c r="K14" i="6"/>
  <c r="I33" i="2"/>
  <c r="I35" i="2"/>
  <c r="N10" i="3"/>
  <c r="J33" i="2"/>
  <c r="J35" i="2"/>
  <c r="L14" i="6"/>
  <c r="M14" i="6"/>
  <c r="F19" i="2"/>
  <c r="K16" i="6"/>
  <c r="K21" i="6"/>
  <c r="F16" i="2"/>
  <c r="F18" i="2"/>
  <c r="K23" i="6"/>
  <c r="K25" i="6"/>
  <c r="K19" i="6"/>
  <c r="N14" i="6"/>
  <c r="L9" i="6"/>
  <c r="K18" i="6"/>
  <c r="K20" i="6"/>
  <c r="K26" i="6"/>
  <c r="G16" i="2"/>
  <c r="G18" i="2"/>
  <c r="L16" i="6"/>
  <c r="G19" i="2"/>
  <c r="F50" i="2"/>
  <c r="L23" i="6"/>
  <c r="L22" i="6"/>
  <c r="L19" i="6"/>
  <c r="L21" i="6"/>
  <c r="Z39" i="7"/>
  <c r="Z30" i="7"/>
  <c r="AA30" i="7"/>
  <c r="Z14" i="7"/>
  <c r="G50" i="2"/>
  <c r="L18" i="6"/>
  <c r="L20" i="6"/>
  <c r="K31" i="6"/>
  <c r="K32" i="6"/>
  <c r="O14" i="6"/>
  <c r="Z50" i="7"/>
  <c r="M9" i="6"/>
  <c r="H19" i="2"/>
  <c r="AA39" i="7"/>
  <c r="AB30" i="7"/>
  <c r="AA14" i="7"/>
  <c r="AD30" i="7"/>
  <c r="AA50" i="7"/>
  <c r="AB14" i="7"/>
  <c r="AC30" i="7"/>
  <c r="H16" i="2"/>
  <c r="H18" i="2"/>
  <c r="M16" i="6"/>
  <c r="M22" i="6"/>
  <c r="M23" i="6"/>
  <c r="M19" i="6"/>
  <c r="M21" i="6"/>
  <c r="AB39" i="7"/>
  <c r="Z38" i="7"/>
  <c r="L25" i="6"/>
  <c r="L26" i="6"/>
  <c r="H50" i="2"/>
  <c r="AC14" i="7"/>
  <c r="P14" i="6"/>
  <c r="N9" i="6"/>
  <c r="I19" i="2"/>
  <c r="AB50" i="7"/>
  <c r="M18" i="6"/>
  <c r="M20" i="6"/>
  <c r="AC39" i="7"/>
  <c r="AD39" i="7"/>
  <c r="AD14" i="7"/>
  <c r="L31" i="6"/>
  <c r="L32" i="6"/>
  <c r="AA38" i="7"/>
  <c r="N16" i="6"/>
  <c r="AC50" i="7"/>
  <c r="I16" i="2"/>
  <c r="I18" i="2"/>
  <c r="N22" i="6"/>
  <c r="N23" i="6"/>
  <c r="N19" i="6"/>
  <c r="N21" i="6"/>
  <c r="AA29" i="7"/>
  <c r="Z29" i="7"/>
  <c r="AD50" i="7"/>
  <c r="N18" i="6"/>
  <c r="N20" i="6"/>
  <c r="O9" i="6"/>
  <c r="J19" i="2"/>
  <c r="AB38" i="7"/>
  <c r="I50" i="2"/>
  <c r="AB29" i="7"/>
  <c r="M25" i="6"/>
  <c r="M26" i="6"/>
  <c r="AC38" i="7"/>
  <c r="O16" i="6"/>
  <c r="J16" i="2"/>
  <c r="J18" i="2"/>
  <c r="O23" i="6"/>
  <c r="O22" i="6"/>
  <c r="O19" i="6"/>
  <c r="O21" i="6"/>
  <c r="AD29" i="7"/>
  <c r="AC29" i="7"/>
  <c r="O18" i="6"/>
  <c r="O20" i="6"/>
  <c r="AD38" i="7"/>
  <c r="J50" i="2"/>
  <c r="M31" i="6"/>
  <c r="M32" i="6"/>
  <c r="P9" i="6"/>
  <c r="P16" i="6"/>
  <c r="P22" i="6"/>
  <c r="P23" i="6"/>
  <c r="P19" i="6"/>
  <c r="P21" i="6"/>
  <c r="P18" i="6"/>
  <c r="P20" i="6"/>
  <c r="N25" i="6"/>
  <c r="N26" i="6"/>
  <c r="N31" i="6"/>
  <c r="N32" i="6"/>
  <c r="O25" i="6"/>
  <c r="O26" i="6"/>
  <c r="O31" i="6"/>
  <c r="O32" i="6"/>
  <c r="P25" i="6"/>
  <c r="P26" i="6"/>
  <c r="P31" i="6"/>
  <c r="P32" i="6"/>
  <c r="Z34" i="7"/>
  <c r="Z31" i="7"/>
  <c r="Z11" i="7"/>
  <c r="Z59" i="7"/>
  <c r="AA34" i="7"/>
  <c r="AA31" i="7"/>
  <c r="AA11" i="7"/>
  <c r="Z28" i="7"/>
  <c r="Z12" i="7"/>
  <c r="Z32" i="7"/>
  <c r="Z47" i="7"/>
  <c r="AA59" i="7"/>
  <c r="Z18" i="7"/>
  <c r="Z35" i="7"/>
  <c r="AB34" i="7"/>
  <c r="AB31" i="7"/>
  <c r="AB11" i="7"/>
  <c r="AA28" i="7"/>
  <c r="AA12" i="7"/>
  <c r="Z22" i="7"/>
  <c r="Z41" i="7"/>
  <c r="Z44" i="7"/>
  <c r="Z45" i="7"/>
  <c r="AB59" i="7"/>
  <c r="AA18" i="7"/>
  <c r="AA32" i="7"/>
  <c r="AB28" i="7"/>
  <c r="AB12" i="7"/>
  <c r="Z23" i="7"/>
  <c r="AC34" i="7"/>
  <c r="AC31" i="7"/>
  <c r="AC11" i="7"/>
  <c r="AC59" i="7"/>
  <c r="AA22" i="7"/>
  <c r="AA35" i="7"/>
  <c r="AA47" i="7"/>
  <c r="AB18" i="7"/>
  <c r="AD31" i="7"/>
  <c r="AD34" i="7"/>
  <c r="AD11" i="7"/>
  <c r="AC28" i="7"/>
  <c r="AC12" i="7"/>
  <c r="AA23" i="7"/>
  <c r="AA41" i="7"/>
  <c r="AA44" i="7"/>
  <c r="AA45" i="7"/>
  <c r="AC18" i="7"/>
  <c r="AD59" i="7"/>
  <c r="AB32" i="7"/>
  <c r="AD28" i="7"/>
  <c r="AD12" i="7"/>
  <c r="AB35" i="7"/>
  <c r="AB47" i="7"/>
  <c r="AD18" i="7"/>
  <c r="AB41" i="7"/>
  <c r="AB44" i="7"/>
  <c r="AB45" i="7"/>
  <c r="AB22" i="7"/>
  <c r="AB23" i="7"/>
  <c r="AC32" i="7"/>
  <c r="AC35" i="7"/>
  <c r="AC47" i="7"/>
  <c r="AC41" i="7"/>
  <c r="AC44" i="7"/>
  <c r="AC45" i="7"/>
  <c r="AC23" i="7"/>
  <c r="AC22" i="7"/>
  <c r="AD32" i="7"/>
  <c r="AD23" i="7"/>
  <c r="AD47" i="7"/>
  <c r="AD35" i="7"/>
  <c r="Z19" i="7"/>
  <c r="Z24" i="7"/>
  <c r="AD22" i="7"/>
  <c r="AD41" i="7"/>
  <c r="AD44" i="7"/>
  <c r="AD45" i="7"/>
  <c r="AA19" i="7"/>
  <c r="AA24" i="7"/>
  <c r="AB19" i="7"/>
  <c r="AB24" i="7"/>
  <c r="AC19" i="7"/>
  <c r="AC24" i="7"/>
  <c r="AD19" i="7"/>
  <c r="AD24" i="7"/>
  <c r="Z25" i="7"/>
  <c r="AA25" i="7"/>
  <c r="AC25" i="7"/>
  <c r="AD25" i="7"/>
  <c r="AB25" i="7"/>
  <c r="AB56" i="7"/>
  <c r="AC56" i="7"/>
  <c r="Z56" i="7"/>
  <c r="AA56" i="7"/>
  <c r="AD56" i="7"/>
  <c r="Z10" i="7"/>
  <c r="Z15" i="7"/>
  <c r="AA10" i="7"/>
  <c r="AB10" i="7"/>
  <c r="AA15" i="7"/>
  <c r="AB15" i="7"/>
  <c r="AC10" i="7"/>
  <c r="AD10" i="7"/>
  <c r="AD15" i="7"/>
  <c r="AC15" i="7"/>
  <c r="K33" i="6"/>
  <c r="P33" i="6"/>
  <c r="P10" i="5"/>
  <c r="M33" i="6"/>
  <c r="L33" i="6"/>
  <c r="L10" i="5"/>
  <c r="O33" i="6"/>
  <c r="O39" i="6"/>
  <c r="N33" i="6"/>
  <c r="N10" i="5"/>
  <c r="N39" i="6"/>
  <c r="O10" i="5"/>
  <c r="Z53" i="7"/>
  <c r="L39" i="6"/>
  <c r="M10" i="5"/>
  <c r="M39" i="6"/>
  <c r="P39" i="6"/>
  <c r="K10" i="5"/>
  <c r="K39" i="6"/>
  <c r="AA53" i="7"/>
  <c r="Z54" i="7"/>
  <c r="AA54" i="7"/>
  <c r="AB53" i="7"/>
  <c r="AC53" i="7"/>
  <c r="AB54" i="7"/>
  <c r="AD53" i="7"/>
  <c r="AD54" i="7"/>
  <c r="AC54" i="7"/>
  <c r="K9" i="3"/>
  <c r="L9" i="3"/>
  <c r="M9" i="3"/>
  <c r="N9" i="3"/>
  <c r="J80" i="2"/>
  <c r="J81" i="2"/>
  <c r="H32" i="3"/>
  <c r="H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BamSEC</author>
  </authors>
  <commentList>
    <comment ref="B11" authorId="0" shapeId="0" xr:uid="{83DD5453-0045-46B6-8A27-4A6C46BEEC28}">
      <text>
        <r>
          <rPr>
            <sz val="11"/>
            <color theme="1"/>
            <rFont val="Calibri"/>
            <family val="2"/>
            <scheme val="minor"/>
          </rPr>
          <t>Variations found in other tables:
"Changes in operating assets and liabilities:" found in:
- 10-K filed on 2023-03-07 (https://www.bamsec.com/filing/155837023003009/1?table=105)</t>
        </r>
      </text>
    </comment>
    <comment ref="B25" authorId="0" shapeId="0" xr:uid="{1CF3F030-33FC-4B19-ABFA-12CCE52D46BB}">
      <text>
        <r>
          <rPr>
            <sz val="11"/>
            <color theme="1"/>
            <rFont val="Calibri"/>
            <family val="2"/>
            <scheme val="minor"/>
          </rPr>
          <t>Variations found in other tables:
"Net cash (used in) provided by operating activities" found in:
- 10-K filed on 2021-03-16 (https://www.bamsec.com/filing/110465921037098/1?table=76)</t>
        </r>
      </text>
    </comment>
    <comment ref="B32" authorId="0" shapeId="0" xr:uid="{7B636F2E-D0A8-47F7-8BE7-F32234698116}">
      <text>
        <r>
          <rPr>
            <sz val="11"/>
            <color theme="1"/>
            <rFont val="Calibri"/>
            <family val="2"/>
            <scheme val="minor"/>
          </rPr>
          <t>Variations found in other tables:
"Net cash (used in) provided by investing activities" found in:
- 10-K filed on 2021-03-16 (https://www.bamsec.com/filing/110465921037098/1?table=76)</t>
        </r>
      </text>
    </comment>
  </commentList>
</comments>
</file>

<file path=xl/sharedStrings.xml><?xml version="1.0" encoding="utf-8"?>
<sst xmlns="http://schemas.openxmlformats.org/spreadsheetml/2006/main" count="961" uniqueCount="664">
  <si>
    <t>x</t>
  </si>
  <si>
    <t>Income Statement</t>
  </si>
  <si>
    <t>in $millions, unless otherwise specified</t>
  </si>
  <si>
    <t>Case Selector</t>
  </si>
  <si>
    <t xml:space="preserve">Fiscal year ending December 31, </t>
  </si>
  <si>
    <t>KPIs for Hardware</t>
  </si>
  <si>
    <t>=</t>
  </si>
  <si>
    <t>Revenue Build</t>
  </si>
  <si>
    <t>Total Assem Management Solutions Revenue</t>
  </si>
  <si>
    <t>% Growth</t>
  </si>
  <si>
    <t>Total TechOps Revenue</t>
  </si>
  <si>
    <t>Total Revenue</t>
  </si>
  <si>
    <t>ASM as % of Revenue</t>
  </si>
  <si>
    <t>TechOps as % of Revenue</t>
  </si>
  <si>
    <t>(COGS as % of Segment Revenue)</t>
  </si>
  <si>
    <t>Cost of Goods Sold</t>
  </si>
  <si>
    <t>Product COGS, $mm</t>
  </si>
  <si>
    <t>% Revenue</t>
  </si>
  <si>
    <t>Bear</t>
  </si>
  <si>
    <t>Base</t>
  </si>
  <si>
    <t>Bull</t>
  </si>
  <si>
    <t>(OpEx, D&amp;A, CapEx as % of Revenue)</t>
  </si>
  <si>
    <t>Operating Expenses</t>
  </si>
  <si>
    <t>Total Operating Expenses</t>
  </si>
  <si>
    <t>Working Capital Schedule</t>
  </si>
  <si>
    <t>Fiscal Year Ending December 31,</t>
  </si>
  <si>
    <t>NWC</t>
  </si>
  <si>
    <t>CapEx Schedule</t>
    <phoneticPr fontId="12" type="noConversion"/>
  </si>
  <si>
    <t>CapEx</t>
  </si>
  <si>
    <t>D&amp;A</t>
    <phoneticPr fontId="12" type="noConversion"/>
  </si>
  <si>
    <t>Total D&amp;A</t>
    <phoneticPr fontId="12" type="noConversion"/>
  </si>
  <si>
    <t>% PP&amp;E</t>
  </si>
  <si>
    <t>PP&amp;E</t>
  </si>
  <si>
    <t>LEss: Depreciation</t>
  </si>
  <si>
    <t>EB: PP&amp;E</t>
  </si>
  <si>
    <t xml:space="preserve"> Aircraft</t>
  </si>
  <si>
    <t xml:space="preserve"> Engines</t>
  </si>
  <si>
    <t xml:space="preserve"> MRO</t>
  </si>
  <si>
    <t xml:space="preserve"> Product Sales</t>
  </si>
  <si>
    <t xml:space="preserve"> Whole Asset Sale</t>
  </si>
  <si>
    <t>Total revenue</t>
  </si>
  <si>
    <t>Cost of Product</t>
  </si>
  <si>
    <t>Cost of Leasing</t>
  </si>
  <si>
    <t>Cost of Services</t>
  </si>
  <si>
    <t>Total cost of revenue</t>
  </si>
  <si>
    <t>Sales, general, and administrative</t>
  </si>
  <si>
    <t>Paroll support program proceeds</t>
  </si>
  <si>
    <t>transactio cost recovered</t>
  </si>
  <si>
    <t>Operating lease amortization</t>
  </si>
  <si>
    <t>Total operating expenses</t>
  </si>
  <si>
    <t>Operating income</t>
  </si>
  <si>
    <t>Free Cash Flow Schedule</t>
  </si>
  <si>
    <t>EBIT</t>
    <phoneticPr fontId="12" type="noConversion"/>
  </si>
  <si>
    <t xml:space="preserve"> ( - ) Tax</t>
  </si>
  <si>
    <t>NOPAT</t>
    <phoneticPr fontId="12" type="noConversion"/>
  </si>
  <si>
    <t>( + ) D&amp;A</t>
    <phoneticPr fontId="12" type="noConversion"/>
  </si>
  <si>
    <t>( - ) Changes in NWC</t>
    <phoneticPr fontId="12" type="noConversion"/>
  </si>
  <si>
    <t>( - ) CapEx</t>
  </si>
  <si>
    <t>UFCF</t>
  </si>
  <si>
    <t>Discount Factor</t>
    <phoneticPr fontId="12" type="noConversion"/>
  </si>
  <si>
    <t>PV of UFCF</t>
  </si>
  <si>
    <t>Sum PV of UFCF</t>
  </si>
  <si>
    <t>WACC</t>
    <phoneticPr fontId="12" type="noConversion"/>
  </si>
  <si>
    <t>Risk Free Rate</t>
    <phoneticPr fontId="12" type="noConversion"/>
  </si>
  <si>
    <t>Market Risk Premium</t>
    <phoneticPr fontId="12" type="noConversion"/>
  </si>
  <si>
    <t>180D Beta</t>
    <phoneticPr fontId="12" type="noConversion"/>
  </si>
  <si>
    <t>Market Cap</t>
    <phoneticPr fontId="12" type="noConversion"/>
  </si>
  <si>
    <t>Debt Outstanding</t>
    <phoneticPr fontId="12" type="noConversion"/>
  </si>
  <si>
    <t>Cost of Debt</t>
    <phoneticPr fontId="12" type="noConversion"/>
  </si>
  <si>
    <t>Cost of Equity</t>
    <phoneticPr fontId="12" type="noConversion"/>
  </si>
  <si>
    <t>Valuation</t>
    <phoneticPr fontId="12" type="noConversion"/>
  </si>
  <si>
    <t>Terminal Growth Rate</t>
    <phoneticPr fontId="12" type="noConversion"/>
  </si>
  <si>
    <t>Discount Rate</t>
    <phoneticPr fontId="12" type="noConversion"/>
  </si>
  <si>
    <t>Sum of PV of UFCF</t>
    <phoneticPr fontId="12" type="noConversion"/>
  </si>
  <si>
    <t>TV</t>
    <phoneticPr fontId="12" type="noConversion"/>
  </si>
  <si>
    <t>PV of TV</t>
    <phoneticPr fontId="12" type="noConversion"/>
  </si>
  <si>
    <t>EV</t>
    <phoneticPr fontId="12" type="noConversion"/>
  </si>
  <si>
    <t>Cash</t>
  </si>
  <si>
    <t>Debt</t>
    <phoneticPr fontId="12" type="noConversion"/>
  </si>
  <si>
    <t>EqV</t>
    <phoneticPr fontId="12" type="noConversion"/>
  </si>
  <si>
    <t>Diluted Shares Outstanding</t>
    <phoneticPr fontId="12" type="noConversion"/>
  </si>
  <si>
    <t>Implied Share Price</t>
    <phoneticPr fontId="12" type="noConversion"/>
  </si>
  <si>
    <t>Current Share Price</t>
    <phoneticPr fontId="12" type="noConversion"/>
  </si>
  <si>
    <t>Cash Flow Statement</t>
  </si>
  <si>
    <t>CFO</t>
  </si>
  <si>
    <t>Net income</t>
  </si>
  <si>
    <t>Changes in operating assets and liabilities, net of acquisitions:</t>
  </si>
  <si>
    <t>Accounts receivable</t>
  </si>
  <si>
    <t>Inventory</t>
  </si>
  <si>
    <t>Deposits, prepaid expenses, and other current assets</t>
  </si>
  <si>
    <t>Deferred customer incentives and other assets</t>
  </si>
  <si>
    <t>Advance vendor payments</t>
  </si>
  <si>
    <t>Accounts payable</t>
  </si>
  <si>
    <t>Income tax receivable</t>
  </si>
  <si>
    <t>Income tax payable</t>
  </si>
  <si>
    <t>Accrued expenses</t>
  </si>
  <si>
    <t>Deferred revenue</t>
  </si>
  <si>
    <t>Lessee and customer purchase deposits</t>
  </si>
  <si>
    <t>Other liabilities</t>
  </si>
  <si>
    <t>Maintenance deposit payments and other liabilities</t>
  </si>
  <si>
    <t>Net cash provided by operating activities</t>
  </si>
  <si>
    <t>Cash flows from investing activities:</t>
  </si>
  <si>
    <t>Business acquisitions</t>
  </si>
  <si>
    <t>Proceeds from sale of assets</t>
  </si>
  <si>
    <t>Proceeds from legal settlement, net</t>
  </si>
  <si>
    <t>Acquisition of aircraft and engines held for lease, including capitalized cost</t>
  </si>
  <si>
    <t>Purchase of property and equipment</t>
  </si>
  <si>
    <t>Net cash provided by (used in) investing activities</t>
  </si>
  <si>
    <t>Net Change in Cash Balance</t>
  </si>
  <si>
    <t>Beginning Cash Balance</t>
  </si>
  <si>
    <t>Ending Cash Balance</t>
  </si>
  <si>
    <t>Cash paid for interest</t>
  </si>
  <si>
    <t>Cash paid for income taxes, net of refunds</t>
  </si>
  <si>
    <t>Interest income, net</t>
  </si>
  <si>
    <t>Other income, net</t>
  </si>
  <si>
    <t>Unrealized loss on investment</t>
  </si>
  <si>
    <t>Change in fair value of warrant liability</t>
  </si>
  <si>
    <t>Income before income taxes</t>
  </si>
  <si>
    <t>Provision for income taxes</t>
  </si>
  <si>
    <t>Dividends paid on redeemable convertible preferred stock</t>
  </si>
  <si>
    <t>Net loss attributable to redeemable noncontrolling interest</t>
  </si>
  <si>
    <t>Cumulative dividend on redeemable convertible preferred stock</t>
  </si>
  <si>
    <t>Dividends paid to participating securities</t>
  </si>
  <si>
    <t>Income allocated to participating securities</t>
  </si>
  <si>
    <t>Net income attributable to common stockholders</t>
  </si>
  <si>
    <t>Balance Sheet</t>
  </si>
  <si>
    <t>Assets</t>
  </si>
  <si>
    <t>Current Assets</t>
  </si>
  <si>
    <t>Current assets:</t>
  </si>
  <si>
    <t>Cash and cash equivalents</t>
  </si>
  <si>
    <t>Accounts receivable, net of allowance for doubtful accounts of $1,652,000 and $1,545,000 as of December 31, 2020 and 2019</t>
  </si>
  <si>
    <t>Inventory:</t>
  </si>
  <si>
    <t>Aircraft, airframes, engines, and parts, net</t>
  </si>
  <si>
    <t>Due from related party</t>
  </si>
  <si>
    <t>Total current assets</t>
  </si>
  <si>
    <t>Fixed assets:</t>
  </si>
  <si>
    <t>Aircraft and engines held for lease, net</t>
  </si>
  <si>
    <t>Property and equipment, net</t>
  </si>
  <si>
    <t>Operating lease right-of-use assets</t>
  </si>
  <si>
    <t>Deferred income taxes</t>
  </si>
  <si>
    <t>Deferred financing costs, net</t>
  </si>
  <si>
    <t>Deferred customer incentives and other assets, net</t>
  </si>
  <si>
    <t>Goodwill</t>
  </si>
  <si>
    <t>Other intangible assets, net</t>
  </si>
  <si>
    <t>Total assets</t>
  </si>
  <si>
    <t>Current liabilities:</t>
  </si>
  <si>
    <t>Current operating lease liabilities</t>
  </si>
  <si>
    <t>Current portion of long-term debt, net</t>
  </si>
  <si>
    <t>Total current liabilities</t>
  </si>
  <si>
    <t>Long-term lease deposits</t>
  </si>
  <si>
    <t>Long-term operating lease liabilities</t>
  </si>
  <si>
    <t>Deferred income taxes, net</t>
  </si>
  <si>
    <t>Warrant liability</t>
  </si>
  <si>
    <t>Total liabilities</t>
  </si>
  <si>
    <t>Commitments and contingencies</t>
  </si>
  <si>
    <t>Stockholders' equity:</t>
  </si>
  <si>
    <t>Common stock, $0.0001 par value. Authorized 200,000,000 shares; issued and outstanding 51,673,099 and 41,046,216 shares</t>
  </si>
  <si>
    <t>Additional paid-in capital</t>
  </si>
  <si>
    <t>Retained earnings</t>
  </si>
  <si>
    <t>Total stockholders' equity</t>
  </si>
  <si>
    <t>Total equity</t>
  </si>
  <si>
    <t>Total liabilities and stockholders' equity</t>
  </si>
  <si>
    <t>Model Check</t>
  </si>
  <si>
    <t>Extra Graphing Calculations:</t>
  </si>
  <si>
    <t>Other current liabilities (% Revenue)</t>
  </si>
  <si>
    <t>HEI | Statement App | Income Statement</t>
  </si>
  <si>
    <t>25-Apr-2025</t>
  </si>
  <si>
    <t>Consolidated | USD</t>
  </si>
  <si>
    <t>Next Earning Report</t>
  </si>
  <si>
    <t>26-May-2025</t>
  </si>
  <si>
    <t/>
  </si>
  <si>
    <t>HISTORICAL (ACTUALS)</t>
  </si>
  <si>
    <t>FORECAST (MEAN)</t>
  </si>
  <si>
    <t>FY Oct-22</t>
  </si>
  <si>
    <t>FY Oct-23</t>
  </si>
  <si>
    <t>FY Oct-24</t>
  </si>
  <si>
    <t>FY Oct-25</t>
  </si>
  <si>
    <t>FY Oct-26</t>
  </si>
  <si>
    <t>FY Oct-27</t>
  </si>
  <si>
    <t>REVENUE</t>
  </si>
  <si>
    <t>        ELECTRONIC TECHNOLOGIES GROUP</t>
  </si>
  <si>
    <t>        FLIGHT SUPPORT GROUP</t>
  </si>
  <si>
    <t>        INTERSEGMENT SALES</t>
  </si>
  <si>
    <t>COST OF GOODS SOLD</t>
  </si>
  <si>
    <t>GROSS INCOME</t>
  </si>
  <si>
    <t>GROSS PROFIT MARGIN</t>
  </si>
  <si>
    <t>R&amp;D EXPENSE</t>
  </si>
  <si>
    <t>-</t>
  </si>
  <si>
    <t>STOCK BASED COMPENSATION</t>
  </si>
  <si>
    <t>SG&amp;A EXPENSE</t>
  </si>
  <si>
    <t>OPERATING EXPENSE</t>
  </si>
  <si>
    <t>EBITDA</t>
  </si>
  <si>
    <t>EBITDA MARGIN</t>
  </si>
  <si>
    <t>EBITDA PER SHARE</t>
  </si>
  <si>
    <t>DEPRECIATION &amp; AMORTIZATION</t>
  </si>
  <si>
    <t>DEPRECIATION</t>
  </si>
  <si>
    <t>AMORTIZATION</t>
  </si>
  <si>
    <t>EBIT</t>
  </si>
  <si>
    <t>EBIT MARGIN</t>
  </si>
  <si>
    <t>INTEREST EXPENSE</t>
  </si>
  <si>
    <t>OTHER INCOME/EXPENSE</t>
  </si>
  <si>
    <t>PRE-TAX PROFIT</t>
  </si>
  <si>
    <t>TAX PROVISION</t>
  </si>
  <si>
    <t>TAX RATE</t>
  </si>
  <si>
    <t>NET INCOME</t>
  </si>
  <si>
    <t>NET INCOME MARGIN</t>
  </si>
  <si>
    <t>EARNINGS PER SHARE</t>
  </si>
  <si>
    <t>EBITDA REPORTED</t>
  </si>
  <si>
    <t>PRE-TAX PROFIT REPORTED</t>
  </si>
  <si>
    <t>NET INCOME REPORTED</t>
  </si>
  <si>
    <t>EARNINGS PER SHARE REPORTED</t>
  </si>
  <si>
    <t>DIVIDEND PER SHARE</t>
  </si>
  <si>
    <t>NUMBER OF SHARES OUTSTANDING</t>
  </si>
  <si>
    <t>Other Industries</t>
  </si>
  <si>
    <t>Defense, Space, Aerospace</t>
  </si>
  <si>
    <t>Growth %</t>
  </si>
  <si>
    <t>Aftermarket</t>
  </si>
  <si>
    <t>Repair and overhaul parts and services</t>
  </si>
  <si>
    <t>FY Oct-21</t>
  </si>
  <si>
    <t>Total Sector Sells</t>
  </si>
  <si>
    <t>Total Sales</t>
  </si>
  <si>
    <t>Total Sector Sales</t>
  </si>
  <si>
    <t>Specialty products</t>
  </si>
  <si>
    <t xml:space="preserve">  </t>
  </si>
  <si>
    <t>R&amp;D Expenses</t>
  </si>
  <si>
    <t>Stock-based Compensation</t>
  </si>
  <si>
    <t>SG&amp;A Expenses</t>
  </si>
  <si>
    <t>% Expenses</t>
  </si>
  <si>
    <t>Company Fundamentals - Balance Sheet</t>
  </si>
  <si>
    <t>Company Name</t>
  </si>
  <si>
    <t>HEICO Corp (HEI)</t>
  </si>
  <si>
    <t>Country of Exchange</t>
  </si>
  <si>
    <t>United States of America</t>
  </si>
  <si>
    <t>Country of Headquarters</t>
  </si>
  <si>
    <t>TRBC Industry Group</t>
  </si>
  <si>
    <t>Aerospace &amp; Defense</t>
  </si>
  <si>
    <t>CF Template</t>
  </si>
  <si>
    <t>IND</t>
  </si>
  <si>
    <t>Consolidation Basis</t>
  </si>
  <si>
    <t>Consolidated</t>
  </si>
  <si>
    <t>Scaling</t>
  </si>
  <si>
    <t>Millions</t>
  </si>
  <si>
    <t>Period</t>
  </si>
  <si>
    <t>Annual</t>
  </si>
  <si>
    <t>Export Date</t>
  </si>
  <si>
    <t>Statement Data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</si>
  <si>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</si>
  <si>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</si>
  <si>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</si>
  <si>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</si>
  <si>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</si>
  <si>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</si>
  <si>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</si>
  <si>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</si>
  <si>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</si>
  <si>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</si>
  <si>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Period End Date</t>
  </si>
  <si>
    <t>Statement Date</t>
  </si>
  <si>
    <t>Standardized Currency</t>
  </si>
  <si>
    <t>USD</t>
  </si>
  <si>
    <t>Template Type</t>
  </si>
  <si>
    <t>Industrial - Differentiated</t>
  </si>
  <si>
    <t>Balance Sheet - Standardized (Currency: Standardized)</t>
  </si>
  <si>
    <t>Field Name</t>
  </si>
  <si>
    <t>30-10-2015</t>
  </si>
  <si>
    <t>30-10-2016</t>
  </si>
  <si>
    <t>30-10-2017</t>
  </si>
  <si>
    <t>30-10-2018</t>
  </si>
  <si>
    <t>30-10-2019</t>
  </si>
  <si>
    <t>30-10-2020</t>
  </si>
  <si>
    <t>30-10-2021</t>
  </si>
  <si>
    <t>30-10-2022</t>
  </si>
  <si>
    <t>30-10-2023</t>
  </si>
  <si>
    <t>30-10-2024</t>
  </si>
  <si>
    <t>Cash &amp; Short-Term Investments</t>
  </si>
  <si>
    <t>Cash &amp; Cash Equivalents</t>
  </si>
  <si>
    <t>Loans &amp; Receivables - Net - Short-Term</t>
  </si>
  <si>
    <t>Trade Accounts &amp; Trade Notes Receivable - Net</t>
  </si>
  <si>
    <t>Trade Accounts &amp; Trade Notes Receivable - Gross</t>
  </si>
  <si>
    <t>Provision - Trade Accounts &amp; Trade Notes Receivable</t>
  </si>
  <si>
    <t>Receivables - Other - Total</t>
  </si>
  <si>
    <t>Inventories - Total</t>
  </si>
  <si>
    <t>Inventories - Raw Materials</t>
  </si>
  <si>
    <t>Inventories - Work in Progress</t>
  </si>
  <si>
    <t>Inventories - Finished Goods</t>
  </si>
  <si>
    <t>Inventories - Other - Total</t>
  </si>
  <si>
    <t>Prepaid Expenses - Short-Term</t>
  </si>
  <si>
    <t>Other Current Assets - Total</t>
  </si>
  <si>
    <t>Deferred Tax - Asset - Short-Term</t>
  </si>
  <si>
    <t>Total Current Assets</t>
  </si>
  <si>
    <t>Non-Current Assets</t>
  </si>
  <si>
    <t>Property, Plant &amp; Equipment - Net - Total</t>
  </si>
  <si>
    <t>Property, Plant &amp; Equipment - excluding Assets Leased Out - Net - Total</t>
  </si>
  <si>
    <t>Property, Plant &amp; Equipment - Gross - Total</t>
  </si>
  <si>
    <t>Property, Plant &amp; Equipment - excluding Assets Leased Out - Gross</t>
  </si>
  <si>
    <t>Land &amp; Buildings - Gross</t>
  </si>
  <si>
    <t>Land/Improvements - Gross</t>
  </si>
  <si>
    <t>Buildings - Gross</t>
  </si>
  <si>
    <t>Plant, Machinery &amp; Equipment - Gross</t>
  </si>
  <si>
    <t>Construction in Progress - Gross</t>
  </si>
  <si>
    <t>Right of Use Tangible Assets - Total - Gross</t>
  </si>
  <si>
    <t>Right of Use Tangible Assets - Operating Lease - Gross</t>
  </si>
  <si>
    <t>Property, Plant &amp; Equipment - Accumulated Depreciation &amp; Impairment - Total</t>
  </si>
  <si>
    <t>Property, Plant &amp; Equipment - excluding Assets Leased Out - Accumulated Depreciation &amp; Impairment - Total</t>
  </si>
  <si>
    <t>Other Non-Current Assets - Total</t>
  </si>
  <si>
    <t>Deferred Tax - Asset - Long-Term</t>
  </si>
  <si>
    <t>Other Non-Current Assets</t>
  </si>
  <si>
    <t>Intangible Assets - Total - Net</t>
  </si>
  <si>
    <t>Goodwill/Cost in Excess of Assets Purchased - Net</t>
  </si>
  <si>
    <t>Intangible Assets - excluding Goodwill - Net - Total</t>
  </si>
  <si>
    <t>Brands, Patents, Trademarks, Marketing &amp; Artistic Intangibles - Net</t>
  </si>
  <si>
    <t>Licenses, Franchises, Copyrights, Property Rights, Prototypes, Contract Based, Models &amp; Designs - Net</t>
  </si>
  <si>
    <t>Intangible Assets - Other - Net</t>
  </si>
  <si>
    <t>Total Non-Current Assets</t>
  </si>
  <si>
    <t>Total Assets</t>
  </si>
  <si>
    <t>Current Liabilities</t>
  </si>
  <si>
    <t>Trade Accounts Payable &amp; Accruals - Short-Term</t>
  </si>
  <si>
    <t>Trade Accounts &amp; Trade Notes Payable - Short-Term</t>
  </si>
  <si>
    <t>Accrued Expenses - Short-Term</t>
  </si>
  <si>
    <t>Short-Term Debt &amp; Current Portion of Long-Term Debt</t>
  </si>
  <si>
    <t>Current Portion of Long-Term Debt including Capitalized Leases</t>
  </si>
  <si>
    <t>Current Portion of Long-Term Debt excluding Capitalized Leases</t>
  </si>
  <si>
    <t>Capitalized Leases - Current Portion</t>
  </si>
  <si>
    <t>Income Taxes - Payable - Short-Term</t>
  </si>
  <si>
    <t>Operating Lease Liabilities - Current Portion/Short-Term</t>
  </si>
  <si>
    <t>Other Current Liabilities - Total</t>
  </si>
  <si>
    <t>Deferred Income - Short-Term</t>
  </si>
  <si>
    <t>Billings in Excess of Cost - Short-Term</t>
  </si>
  <si>
    <t>Other Current Liabilities</t>
  </si>
  <si>
    <t>Total Current Liabilities</t>
  </si>
  <si>
    <t>Non-Current Liabilities</t>
  </si>
  <si>
    <t>Debt - Long-Term - Total</t>
  </si>
  <si>
    <t>Long-Term Debt excluding Capitalized Leases</t>
  </si>
  <si>
    <t>Debt - Non-Convertible - Long-Term</t>
  </si>
  <si>
    <t>Capitalized Lease Obligations - Long-Term</t>
  </si>
  <si>
    <t>Deferred Tax &amp; Investment Tax Credits - Long-Term</t>
  </si>
  <si>
    <t>Deferred Tax - Liability - Long-Term</t>
  </si>
  <si>
    <t>Operating Lease Liabilities - Long-Term</t>
  </si>
  <si>
    <t>Other Non-Current Liabilities - Total</t>
  </si>
  <si>
    <t>Deferred Revenue - Long-Term</t>
  </si>
  <si>
    <t>Other Non-Current Liabilities</t>
  </si>
  <si>
    <t>Minority Interest - Non-Equity</t>
  </si>
  <si>
    <t>Total Non-Current Liabilities</t>
  </si>
  <si>
    <t>Total Liabilities</t>
  </si>
  <si>
    <t>Shareholders' Equity</t>
  </si>
  <si>
    <t>Shareholders' Equity - Attributable to Parent Shareholders - Total</t>
  </si>
  <si>
    <t>Preferred Shareholders Equity</t>
  </si>
  <si>
    <t>Preferred Stock - Non-Redeemable</t>
  </si>
  <si>
    <t>Common Equity Attributable to Parent Shareholders</t>
  </si>
  <si>
    <t>Common Equity - Contributed</t>
  </si>
  <si>
    <t>Common Stock - Issued &amp; Paid</t>
  </si>
  <si>
    <t>Common Stock - Additional Paid in Capital including Option Reserve</t>
  </si>
  <si>
    <t>Equity - Non-Contributed - Reserves &amp; Retained Earnings</t>
  </si>
  <si>
    <t>Retained Earnings - Total</t>
  </si>
  <si>
    <t>Comprehensive Income - Accumulated - Total</t>
  </si>
  <si>
    <t>Foreign Currency Translation Adjustment - Accumulated</t>
  </si>
  <si>
    <t>Comprehensive Income - Pension Liabilities</t>
  </si>
  <si>
    <t>Comprehensive Income - Unearned Compensation</t>
  </si>
  <si>
    <t>Comprehensive Income - Other - Total</t>
  </si>
  <si>
    <t>Other Reserves/Equity - Total</t>
  </si>
  <si>
    <t>Common Equity - Total</t>
  </si>
  <si>
    <t>Minority Interest - Equity</t>
  </si>
  <si>
    <t>Total Shareholders' Equity</t>
  </si>
  <si>
    <t>Total Shareholders' Equity - including Minority Interest &amp; Hybrid Debt</t>
  </si>
  <si>
    <t>Total Liabilities &amp; Shareholders' Equity</t>
  </si>
  <si>
    <t>Total Liabilities &amp; Equity</t>
  </si>
  <si>
    <t>Share/Per Share - Common</t>
  </si>
  <si>
    <t>Common Shares - Issued - Total</t>
  </si>
  <si>
    <t>Common Shares - Outstanding - Total</t>
  </si>
  <si>
    <t>Common Shares - Treasury - Total</t>
  </si>
  <si>
    <t>Common Shares - Authorized - Issue Specific</t>
  </si>
  <si>
    <t>Common Shares - Issued - Issue Specific</t>
  </si>
  <si>
    <t>Common Shares - Outstanding - Issue Specific</t>
  </si>
  <si>
    <t>Common Shares - Treasury - Issue Specific</t>
  </si>
  <si>
    <t>Share/Per Share - Other</t>
  </si>
  <si>
    <t>Asset Allocation Factor - Issue Specific</t>
  </si>
  <si>
    <t>Right of Use Tangible Assets</t>
  </si>
  <si>
    <t>Right of Use Tangible Assets - Total - Net - Supplemental</t>
  </si>
  <si>
    <t>Right of Use Tangible Assets - Operating Lease - Net - Supplemental</t>
  </si>
  <si>
    <t>Right of Use Tangible Assets - Capital/Finance Lease - Net - Supplemental</t>
  </si>
  <si>
    <t>Property, Plant &amp; Equipment - excluding Right of Use Tangible Assets &amp; Capital Leases - Net</t>
  </si>
  <si>
    <t>Right of Use Liabilities</t>
  </si>
  <si>
    <t>Total Operating Lease Liabilities</t>
  </si>
  <si>
    <t>Operating Lease Liabilities - Current Portion/Short-Term - Supplemental</t>
  </si>
  <si>
    <t>Operating Lease Liabilities - Long-Term - Supplemental</t>
  </si>
  <si>
    <t>Finance and Operating Lease Liabilities - Total</t>
  </si>
  <si>
    <t>Debt including Finance and Operating Lease Liabilities</t>
  </si>
  <si>
    <t>Long-Term &amp; Short-Term</t>
  </si>
  <si>
    <t>Loans &amp; Receivables - Total</t>
  </si>
  <si>
    <t>Accounts &amp; Notes Receivable - Trade - Gross - Total</t>
  </si>
  <si>
    <t>Other Assets - Total</t>
  </si>
  <si>
    <t>Income Taxes - Payable - Long-Term &amp; Short-Term</t>
  </si>
  <si>
    <t>Payables &amp; Accrued Expenses</t>
  </si>
  <si>
    <t>Trade Account Payables - Total</t>
  </si>
  <si>
    <t>Accrued Expenses</t>
  </si>
  <si>
    <t>Billings in Excess of Costs - Total</t>
  </si>
  <si>
    <t>Contract Assets - Short-Term - Unbilled Revenue in Excess of Advance Consideration &amp; Progress Billings</t>
  </si>
  <si>
    <t>Debt Related</t>
  </si>
  <si>
    <t>Net Debt</t>
  </si>
  <si>
    <t>Debt - Total</t>
  </si>
  <si>
    <t>Revolving Line of Credit - Outstanding - Supplemental</t>
  </si>
  <si>
    <t>Revolving Line of Credit - Total Principal Amount</t>
  </si>
  <si>
    <t>Debt Maturity</t>
  </si>
  <si>
    <t>Debt - Long-Term - Maturities - Total</t>
  </si>
  <si>
    <t>Debt - Long-Term - Maturities - within 1 Year</t>
  </si>
  <si>
    <t>Debt - Long-Term - Maturities - Year 2</t>
  </si>
  <si>
    <t>Debt - Long-Term - Maturities - Year 3</t>
  </si>
  <si>
    <t>Debt - Long-Term - Maturities - Remaining</t>
  </si>
  <si>
    <t>Debt - Long-Term - Maturities - 2-3 Years</t>
  </si>
  <si>
    <t>Debt - Long-Term - Maturities - Year 6 &amp; Beyond</t>
  </si>
  <si>
    <t>Capital Lease Maturity</t>
  </si>
  <si>
    <t>Capital Lease Maturities - Total</t>
  </si>
  <si>
    <t>Capital Lease Maturities - Due within 1 Year</t>
  </si>
  <si>
    <t>Capital Lease Maturities - Due in Year 2</t>
  </si>
  <si>
    <t>Capital Lease Maturities - Due in Year 3</t>
  </si>
  <si>
    <t>Capital Lease Maturities - Due in Year 4</t>
  </si>
  <si>
    <t>Capital Lease Maturities - Due in Year 5</t>
  </si>
  <si>
    <t>Capital Lease Maturities - Remaining Maturities</t>
  </si>
  <si>
    <t>Capital Lease Maturities - Interest Costs</t>
  </si>
  <si>
    <t>Capital Lease Maturities - Due in 2-3 Years</t>
  </si>
  <si>
    <t>Capital Lease Maturities - Due in 4-5 Years</t>
  </si>
  <si>
    <t>Capital Lease Maturities - Due in Year 6 &amp; Beyond</t>
  </si>
  <si>
    <t>Weighted Average Leases</t>
  </si>
  <si>
    <t>Wgt Avg Remaining Lease Term (Years)-Operating Lease-US GAAP</t>
  </si>
  <si>
    <t>Wgt Avg Remaining Lease Term (Years) - Finance Lease</t>
  </si>
  <si>
    <t>Weighted Average Discount Rate - Operating Lease - US GAAP</t>
  </si>
  <si>
    <t>Weighted Average Discount Rate - Finance Lease</t>
  </si>
  <si>
    <t>Other</t>
  </si>
  <si>
    <t>Contract Liabilities - Short-Term - Advance Consideration &amp; Progress Billings in Excess of Unbilled Revenue</t>
  </si>
  <si>
    <t>Contract Liabilities - Long-Term - Advance Consideration &amp; Progress Billings in Excess of Unbilled Revenue</t>
  </si>
  <si>
    <t>Minority Interest - Total</t>
  </si>
  <si>
    <t>Accruals - Short-Term</t>
  </si>
  <si>
    <t>Asset Accruals</t>
  </si>
  <si>
    <t>Cash &amp; Cash Equivalents - Total</t>
  </si>
  <si>
    <t>Cash &amp; Short Term Investments - Total</t>
  </si>
  <si>
    <t>Debt - including Preferred Equity &amp; Minority Interest - Total</t>
  </si>
  <si>
    <t>Net Book Capital</t>
  </si>
  <si>
    <t>Net Operating Assets</t>
  </si>
  <si>
    <t>Provisions - Total</t>
  </si>
  <si>
    <t>Shareholders Equity - Common</t>
  </si>
  <si>
    <t>Tangible Total Equity</t>
  </si>
  <si>
    <t>Tangible Book Value</t>
  </si>
  <si>
    <t>Total Book Capital</t>
  </si>
  <si>
    <t>Total Capital</t>
  </si>
  <si>
    <t>Total Long Term Capital</t>
  </si>
  <si>
    <t>Total Fixed Assets - Net</t>
  </si>
  <si>
    <t>Unearned Revenue - Total</t>
  </si>
  <si>
    <t>Working Capital</t>
  </si>
  <si>
    <t>Working Capital - Non-Cash</t>
  </si>
  <si>
    <t>Working Capital excluding Other Current Assets &amp; Liabilities</t>
  </si>
  <si>
    <t>Book Value excluding Other Equity</t>
  </si>
  <si>
    <t>Total Indefinite-lived Intangible Assets - Net (excl Goodwill) - Supplemental</t>
  </si>
  <si>
    <t>Order Backlog</t>
  </si>
  <si>
    <t>Shareholders</t>
  </si>
  <si>
    <t>Common Shareholders - Number</t>
  </si>
  <si>
    <t>Operating Lease Maturity</t>
  </si>
  <si>
    <t>Operating Lease Payments - Total</t>
  </si>
  <si>
    <t>Operating Lease Payments - Due in Year 1</t>
  </si>
  <si>
    <t>Operating Lease Payments - Due in Year 2</t>
  </si>
  <si>
    <t>Operating Lease Payments - Due in Year 3</t>
  </si>
  <si>
    <t>Operating Lease Payments - Due in Year 4</t>
  </si>
  <si>
    <t>Operating Lease Payments - Due in Year 5</t>
  </si>
  <si>
    <t>Operating Lease Payments - Remaining Maturities</t>
  </si>
  <si>
    <t>Operating Lease Payments - Interest Cost/Imputed Interest</t>
  </si>
  <si>
    <t>Operating Lease Payments - Due in 2-3 Years</t>
  </si>
  <si>
    <t>Operating Lease Payments - Due in 4-5 Years</t>
  </si>
  <si>
    <t>Operating Lease Payments - Due in Year 6 &amp; Beyond</t>
  </si>
  <si>
    <t>Employees</t>
  </si>
  <si>
    <t>Employees - Full-Time/Full-Time Equivalents - Period End</t>
  </si>
  <si>
    <t>Employees - Full-Time/Full-Time Equivalents - Current Date</t>
  </si>
  <si>
    <t>Company Fundamentals - Cash Flow</t>
  </si>
  <si>
    <t>Industrial - Indirect</t>
  </si>
  <si>
    <t>Cash Flow - Standardized (Currency: Standardized)</t>
  </si>
  <si>
    <t>Operating Cash Flow - Indirect</t>
  </si>
  <si>
    <t>Profit/(Loss) - Starting Line - Cash Flow</t>
  </si>
  <si>
    <t>Non-cash Items &amp; Reconciliation Adjustments - Cash Flow</t>
  </si>
  <si>
    <t>Other Non-Cash Items &amp; Reconciliation Adjustments - Cash Flow - to Reconcile</t>
  </si>
  <si>
    <t>Depreciation, Depletion &amp; Amortization including Impairment - Cash Flow - to Reconcile</t>
  </si>
  <si>
    <t>Depreciation &amp; Depletion - Property, Plant &amp; Equipment - Cash Flow - to Reconcile</t>
  </si>
  <si>
    <t>Impairment - Property, Plant &amp; Equipment including Intangible Assets - Cash Flow - to Reconcile</t>
  </si>
  <si>
    <t>Deferred Income Taxes &amp; Income Tax Credits - Cash Flow - to Reconcile</t>
  </si>
  <si>
    <t>Share Based Payments - Cash Flow - to Reconcile</t>
  </si>
  <si>
    <t>Cash Flow from Operating Activities before Changes in Working Capital</t>
  </si>
  <si>
    <t>Working Capital - Increase/(Decrease) - Cash Flow</t>
  </si>
  <si>
    <t>Accounts Receivables - Decrease/(Increase) - Cash Flow</t>
  </si>
  <si>
    <t>Inventories - Decrease/(Increase) - Cash Flow</t>
  </si>
  <si>
    <t>Prepaid Expenses - Decrease/(Increase) - Cash Flow</t>
  </si>
  <si>
    <t>Accounts Payable - Increase/(Decrease) - Cash Flow</t>
  </si>
  <si>
    <t>Accrued Expenses - Increase/(Decrease) - Cash Flow</t>
  </si>
  <si>
    <t>Taxes Payable - Increase/(Decrease) - Cash Flow</t>
  </si>
  <si>
    <t>Other Assets &amp; Liabilities - Increase/(Decrease) - Net - Cash Flow</t>
  </si>
  <si>
    <t>Net Cash Flow from Operating Activities</t>
  </si>
  <si>
    <t>Investing Cash Flow</t>
  </si>
  <si>
    <t>Capital Expenditures - Net - Cash Flow</t>
  </si>
  <si>
    <t>Property, Plant &amp; Equipment - Purchased/(Sold) - Net - Cash Flow</t>
  </si>
  <si>
    <t>Property, Plant &amp; Equipment - Purchased - Cash Flow</t>
  </si>
  <si>
    <t>Capital Expenditures - Total</t>
  </si>
  <si>
    <t>Acquisition &amp; Disposals of Business - Assets - Sold/(Acquired) - Net - Cash Flow</t>
  </si>
  <si>
    <t>Acquisition of Business - Cash Flow</t>
  </si>
  <si>
    <t>Investments excluding Loans - Decrease/(Increase) - Cash Flow</t>
  </si>
  <si>
    <t>Investment Securities - Unclassified - Sold/(Purchased) - Net - Total - Cash Flow</t>
  </si>
  <si>
    <t>Other Investing Cash Flow - Decrease/(Increase)</t>
  </si>
  <si>
    <t>Net Cash Flow from Investing Activities</t>
  </si>
  <si>
    <t>Financing Cash Flow</t>
  </si>
  <si>
    <t>Dividends Paid - Cash - Total - Cash Flow</t>
  </si>
  <si>
    <t>Dividends - Common - Cash Paid</t>
  </si>
  <si>
    <t>Stock - Total - Issuance/(Retirement) - Net - Cash Flow</t>
  </si>
  <si>
    <t>Options Exercised - Cash Flow</t>
  </si>
  <si>
    <t>Minority Interests &amp; Joint Ventures - Net - Cash Flow</t>
  </si>
  <si>
    <t>Debt - Long-Term &amp; Short-Term - Issuance/(Retirement) - Total - Cash Flow</t>
  </si>
  <si>
    <t>Debt - Issued/(Reduced) - Long-Term &amp; Short-Term - Cash Flow</t>
  </si>
  <si>
    <t>Debt - Issued - Long-Term &amp; Short-Term - Cash Flow</t>
  </si>
  <si>
    <t>Debt - Reduced - Long-Term &amp; Short-Term - Cash Flow</t>
  </si>
  <si>
    <t>Debt - Issued/(Reduced) - Short-Term - Total - Cash Flow</t>
  </si>
  <si>
    <t>Debt - Reduced - Short-Term - Cash Flow</t>
  </si>
  <si>
    <t>Debt - Issued/(Reduced) - Long-Term - Cash Flow</t>
  </si>
  <si>
    <t>Debt - Issued - Long-Term - Cash Flow</t>
  </si>
  <si>
    <t>Debt - Reduced - Long-Term - Cash Flow</t>
  </si>
  <si>
    <t>Other Financing Cash Flow - Increase/(Decrease)</t>
  </si>
  <si>
    <t>Net Cash Flow from Financing Activities</t>
  </si>
  <si>
    <t>Foreign Exchange Effects</t>
  </si>
  <si>
    <t>Foreign Exchange Effects - Cash Flow</t>
  </si>
  <si>
    <t>Change in Cash</t>
  </si>
  <si>
    <t>Net Change in Cash - Total</t>
  </si>
  <si>
    <t>Net Cash from Continuing Operations</t>
  </si>
  <si>
    <t>Net Cash - Beginning Balance</t>
  </si>
  <si>
    <t>Net Cash - Ending Balance</t>
  </si>
  <si>
    <t>Supplemental</t>
  </si>
  <si>
    <t>Income Taxes - Paid/(Reimbursed) - Cash Flow - Supplemental</t>
  </si>
  <si>
    <t>Interest Paid - Cash Flow - Supplemental</t>
  </si>
  <si>
    <t>CF from Optg Activities before Change in WC &amp; Int Payments</t>
  </si>
  <si>
    <t>Contract Assets - Decrease/(Increase) - Cash Flow</t>
  </si>
  <si>
    <t>Depreciation, Depletion &amp; Amortization - Cash Flow</t>
  </si>
  <si>
    <t>Free Cash Flow to Equity</t>
  </si>
  <si>
    <t>Free Cash Flow Net of Dividends</t>
  </si>
  <si>
    <t>Free Cash Flow</t>
  </si>
  <si>
    <t>Dividends Provided/Paid - Common</t>
  </si>
  <si>
    <t>Flight Support Group</t>
  </si>
  <si>
    <t xml:space="preserve">    After Market Business</t>
  </si>
  <si>
    <t xml:space="preserve">    Repair and Overhaul Parts and Services</t>
  </si>
  <si>
    <t xml:space="preserve">         % of Growth</t>
  </si>
  <si>
    <t xml:space="preserve">    Specialty Products</t>
  </si>
  <si>
    <t>Electronic Technology Group</t>
  </si>
  <si>
    <t xml:space="preserve">    Defense, Space, Aerospace</t>
  </si>
  <si>
    <t xml:space="preserve">    Other Industries</t>
  </si>
  <si>
    <t>Total Flight Support Group Revenue</t>
  </si>
  <si>
    <t>Total Electronic Technology Group Revenue</t>
  </si>
  <si>
    <t xml:space="preserve">         % of Expenses</t>
  </si>
  <si>
    <t>Product Cost of Good Sold</t>
  </si>
  <si>
    <t>Total Cost of Revenue</t>
  </si>
  <si>
    <t>Cost of debt computation</t>
  </si>
  <si>
    <t>Latest risk-free rate</t>
  </si>
  <si>
    <t>US 10Y Treasury Yield</t>
  </si>
  <si>
    <t>Comps Credit Spreads</t>
  </si>
  <si>
    <t>NYSE: HEI</t>
  </si>
  <si>
    <t>Share Price (As of 04/24/2025)</t>
  </si>
  <si>
    <t>$242.04</t>
  </si>
  <si>
    <t>Diluted Shares Outstanding</t>
  </si>
  <si>
    <t>138.95M</t>
  </si>
  <si>
    <t>Market Cap</t>
  </si>
  <si>
    <t>$29.72B</t>
  </si>
  <si>
    <t>Company P/E</t>
  </si>
  <si>
    <t>66.8x</t>
  </si>
  <si>
    <t>Industry P/E</t>
  </si>
  <si>
    <t>45.85x</t>
  </si>
  <si>
    <t>EV/EBITDA</t>
  </si>
  <si>
    <t>31.78x</t>
  </si>
  <si>
    <t>Industry EV/EBITDA</t>
  </si>
  <si>
    <t>23.04x</t>
  </si>
  <si>
    <t>Comparables Analysis (Aircraft Aftermarket)</t>
  </si>
  <si>
    <t>Stock prices and multiples as of 04/23/2025, Monetary Figures in $millions, except for stock price, multiples and market cap</t>
  </si>
  <si>
    <t>Company</t>
  </si>
  <si>
    <t>Country</t>
  </si>
  <si>
    <t>Ticker</t>
  </si>
  <si>
    <t>Market Valuation</t>
  </si>
  <si>
    <t>Financial Performance (NTM)</t>
  </si>
  <si>
    <t>Multiples</t>
  </si>
  <si>
    <t>Price</t>
  </si>
  <si>
    <t>TEV</t>
  </si>
  <si>
    <t>Sales</t>
  </si>
  <si>
    <t>Net Income</t>
  </si>
  <si>
    <t>EV/Sales</t>
  </si>
  <si>
    <t>P/E</t>
  </si>
  <si>
    <t>HEICO Corp</t>
  </si>
  <si>
    <t>USA</t>
  </si>
  <si>
    <t>HEI</t>
  </si>
  <si>
    <t>$ 29.72B</t>
  </si>
  <si>
    <t>TransDigm Group</t>
  </si>
  <si>
    <t>TDG</t>
  </si>
  <si>
    <t>$ 75.83B</t>
  </si>
  <si>
    <t>AAR Corp</t>
  </si>
  <si>
    <t>AIR</t>
  </si>
  <si>
    <t>$ 1.90B</t>
  </si>
  <si>
    <t>FTAI Aviation Ltd.</t>
  </si>
  <si>
    <t>FTAI</t>
  </si>
  <si>
    <t>$ 9.83B</t>
  </si>
  <si>
    <t>RBC Bearings</t>
  </si>
  <si>
    <t>RBC</t>
  </si>
  <si>
    <t>$ 10.38B</t>
  </si>
  <si>
    <t>Mean</t>
  </si>
  <si>
    <t>Median</t>
  </si>
  <si>
    <t>Comparables Analysis (OEMs)</t>
  </si>
  <si>
    <t>Howmet Aerospace</t>
  </si>
  <si>
    <t>HWM</t>
  </si>
  <si>
    <t>$ 53.99B</t>
  </si>
  <si>
    <t>RTX Corporation</t>
  </si>
  <si>
    <t>RTX</t>
  </si>
  <si>
    <t>$ 162.95B</t>
  </si>
  <si>
    <t>Moog Inc</t>
  </si>
  <si>
    <t>MOGa</t>
  </si>
  <si>
    <t>$ 5.56B</t>
  </si>
  <si>
    <t>Honeywell International</t>
  </si>
  <si>
    <t>HON.O</t>
  </si>
  <si>
    <t>$ 129.13B</t>
  </si>
  <si>
    <t>Comparables Analysis (High-tech Electronics / Military Components)</t>
  </si>
  <si>
    <t>Mercury Systems Inc</t>
  </si>
  <si>
    <t>MRCY</t>
  </si>
  <si>
    <t>$ 2.97B</t>
  </si>
  <si>
    <t>Curtiss-Wright Corp</t>
  </si>
  <si>
    <t>CW</t>
  </si>
  <si>
    <t>$ 12.65B</t>
  </si>
  <si>
    <t>Spread</t>
  </si>
  <si>
    <t>Risk-Free</t>
  </si>
  <si>
    <t>Credit Rating</t>
  </si>
  <si>
    <t>Years</t>
  </si>
  <si>
    <t>Maturity</t>
  </si>
  <si>
    <t>Yield</t>
  </si>
  <si>
    <t>B</t>
  </si>
  <si>
    <t>Tax Rate</t>
  </si>
  <si>
    <t>HEI Credit Rating</t>
  </si>
  <si>
    <t>Fitch</t>
  </si>
  <si>
    <t>BBB</t>
  </si>
  <si>
    <t>Moody's</t>
  </si>
  <si>
    <t>Baa2</t>
  </si>
  <si>
    <t>Ba2</t>
  </si>
  <si>
    <t>S&amp;P</t>
  </si>
  <si>
    <t>BB</t>
  </si>
  <si>
    <t>Baa1</t>
  </si>
  <si>
    <t>BB+</t>
  </si>
  <si>
    <t>A2</t>
  </si>
  <si>
    <t>Howmet Bonds</t>
  </si>
  <si>
    <t>5.900% 2/1/2027</t>
  </si>
  <si>
    <t>6.750% 1/15/2028</t>
  </si>
  <si>
    <t>3.000% 1/15/2029</t>
  </si>
  <si>
    <t>4.850% 10/15/2031</t>
  </si>
  <si>
    <t>5.950% 2/1/2037</t>
  </si>
  <si>
    <t>AVG</t>
  </si>
  <si>
    <t>Agency</t>
  </si>
  <si>
    <t>Cost of debt</t>
  </si>
  <si>
    <t xml:space="preserve"> </t>
  </si>
  <si>
    <t>Costs &amp; Expenses Build</t>
  </si>
  <si>
    <t>Implied Upside</t>
  </si>
  <si>
    <t>Legend</t>
  </si>
  <si>
    <t>Formula</t>
  </si>
  <si>
    <t>Hardcode</t>
  </si>
  <si>
    <t xml:space="preserve">Formula (Own Assumptions) </t>
  </si>
  <si>
    <t xml:space="preserve">Model Output - Expectation </t>
  </si>
  <si>
    <t xml:space="preserve">Target Price - $ per share </t>
  </si>
  <si>
    <t xml:space="preserve">Current Price, 15 March 2024 - $ per share </t>
  </si>
  <si>
    <t xml:space="preserve">Potential upside </t>
  </si>
  <si>
    <t xml:space="preserve">Call based on DCF Expectation </t>
  </si>
  <si>
    <t>HEICO CORPORATION (HEI)</t>
  </si>
  <si>
    <t>Link from another sheet</t>
    <phoneticPr fontId="65" type="noConversion"/>
  </si>
  <si>
    <t xml:space="preserve">Hardcoded (Own Assumptions) </t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</si>
</sst>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¥&quot;* #,##0.00_);_(&quot;¥&quot;* \(#,##0.00\);_(&quot;¥&quot;* &quot;-&quot;??_);_(@_)"/>
    <numFmt numFmtId="165" formatCode="#\A"/>
    <numFmt numFmtId="166" formatCode="#\E"/>
    <numFmt numFmtId="167" formatCode="0.0%"/>
    <numFmt numFmtId="168" formatCode="_(&quot;$&quot;* #,##0.0_);_(&quot;$&quot;* \(#,##0.0\);_(&quot;$&quot;* &quot;-&quot;?_);_(@_)"/>
    <numFmt numFmtId="169" formatCode="0.0"/>
    <numFmt numFmtId="170" formatCode="_(&quot;$&quot;* #,##0.0_);_(&quot;$&quot;* \(#,##0.0\);_(&quot;$&quot;* &quot;-&quot;_);_(@_)"/>
    <numFmt numFmtId="171" formatCode="_(* #,##0.0_);_(* \(#,##0.0\);_(* &quot;-&quot;??_);_(@_)"/>
    <numFmt numFmtId="172" formatCode="_(&quot;$&quot;* #,##0.000_);_(&quot;$&quot;* \(#,##0.000\);_(&quot;$&quot;* &quot;-&quot;???_);_(@_)"/>
    <numFmt numFmtId="173" formatCode="_(#,##0_);_(\(#,##0\);_(&quot;-&quot;_);_(@_)"/>
    <numFmt numFmtId="174" formatCode="_(&quot;$&quot;* #,##0.0_);_(&quot;$&quot;* \(#,##0.0\);_(&quot;$&quot;* &quot;-&quot;??_);_(@_)"/>
    <numFmt numFmtId="175" formatCode="_([$$-409]* #,##0.00_);_([$$-409]* \(#,##0.00\);_([$$-409]* &quot;-&quot;??_);_(@_)"/>
    <numFmt numFmtId="176" formatCode="_(&quot;$&quot;* #,##0.00_);_(&quot;$&quot;* \(#,##0.00\);_(&quot;$&quot;* &quot;-&quot;_);_(@_)"/>
    <numFmt numFmtId="177" formatCode="0.000"/>
    <numFmt numFmtId="178" formatCode="0.000%"/>
    <numFmt numFmtId="179" formatCode="dd\-mm\-yyyy"/>
    <numFmt numFmtId="180" formatCode="#,##0.0"/>
    <numFmt numFmtId="181" formatCode="[&gt;=100]##,##0.0\%;[&lt;=-100]\-##,##0.0\%;##,##0.0\%"/>
  </numFmts>
  <fonts count="66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0"/>
      <name val="Garamond"/>
      <family val="1"/>
    </font>
    <font>
      <b/>
      <sz val="11"/>
      <color theme="1"/>
      <name val="Garamond"/>
      <family val="1"/>
    </font>
    <font>
      <i/>
      <sz val="11"/>
      <color theme="1"/>
      <name val="Garamond"/>
      <family val="1"/>
    </font>
    <font>
      <sz val="11"/>
      <color theme="1"/>
      <name val="Garamond"/>
      <family val="1"/>
    </font>
    <font>
      <sz val="22"/>
      <color theme="1"/>
      <name val="Garamond"/>
      <family val="1"/>
    </font>
    <font>
      <sz val="11"/>
      <color rgb="FF0000FC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2"/>
      <color theme="1"/>
      <name val="Garamond"/>
      <family val="1"/>
    </font>
    <font>
      <b/>
      <u val="singleAccounting"/>
      <sz val="11"/>
      <color theme="1"/>
      <name val="Garamond"/>
      <family val="1"/>
    </font>
    <font>
      <sz val="11"/>
      <name val="Calibri"/>
      <family val="2"/>
    </font>
    <font>
      <b/>
      <sz val="11"/>
      <name val="Calibri"/>
      <family val="2"/>
    </font>
    <font>
      <sz val="22"/>
      <color theme="1"/>
      <name val="Garamond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  <font>
      <sz val="11"/>
      <color rgb="FF0000FC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u/>
      <sz val="10"/>
      <color rgb="FF000000"/>
      <name val="Verdana"/>
      <family val="2"/>
    </font>
    <font>
      <i/>
      <sz val="10"/>
      <color rgb="FF000000"/>
      <name val="Verdana"/>
      <family val="2"/>
    </font>
    <font>
      <i/>
      <sz val="10"/>
      <color rgb="FF0000FC"/>
      <name val="Verdana"/>
      <family val="2"/>
    </font>
    <font>
      <b/>
      <sz val="10"/>
      <color rgb="FF000000"/>
      <name val="Verdana"/>
      <family val="2"/>
    </font>
    <font>
      <sz val="10"/>
      <color rgb="FF0000FC"/>
      <name val="Verdana"/>
      <family val="2"/>
    </font>
    <font>
      <b/>
      <sz val="10"/>
      <color rgb="FF0000FF"/>
      <name val="Verdana"/>
      <family val="2"/>
    </font>
    <font>
      <sz val="10"/>
      <color rgb="FF0000FF"/>
      <name val="Verdana"/>
      <family val="2"/>
    </font>
    <font>
      <i/>
      <sz val="10"/>
      <color rgb="FF0000FF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i/>
      <sz val="14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334BFF"/>
      <name val="Verdana"/>
      <family val="2"/>
    </font>
    <font>
      <sz val="10"/>
      <color rgb="FFF5475B"/>
      <name val="Verdana"/>
      <family val="2"/>
    </font>
    <font>
      <b/>
      <sz val="10"/>
      <color rgb="FFF5475B"/>
      <name val="Verdana"/>
      <family val="2"/>
    </font>
    <font>
      <b/>
      <sz val="11"/>
      <color rgb="FF000000"/>
      <name val="Verdana"/>
      <family val="2"/>
    </font>
    <font>
      <b/>
      <sz val="11"/>
      <color rgb="FF0000FC"/>
      <name val="Verdana"/>
      <family val="2"/>
    </font>
    <font>
      <sz val="10"/>
      <color theme="1"/>
      <name val="ArialMT"/>
      <family val="2"/>
    </font>
    <font>
      <sz val="10"/>
      <color theme="1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B050"/>
      <name val="Arial"/>
      <family val="2"/>
    </font>
    <font>
      <u/>
      <sz val="10"/>
      <color theme="10"/>
      <name val="ArialMT"/>
      <family val="2"/>
    </font>
    <font>
      <sz val="9"/>
      <name val="Calibri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E699"/>
        <bgColor rgb="FFFFE699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4E8ED"/>
      </patternFill>
    </fill>
    <fill>
      <patternFill patternType="solid">
        <fgColor rgb="FFADFFFF"/>
      </patternFill>
    </fill>
    <fill>
      <patternFill patternType="solid">
        <fgColor rgb="FFC9EDFF"/>
      </patternFill>
    </fill>
    <fill>
      <patternFill patternType="solid">
        <fgColor rgb="FFF2F3F7"/>
      </patternFill>
    </fill>
    <fill>
      <patternFill patternType="solid">
        <fgColor rgb="FFD0D4DB"/>
      </patternFill>
    </fill>
    <fill>
      <patternFill patternType="solid">
        <fgColor rgb="FF334BFF"/>
        <bgColor rgb="FF334BFF"/>
      </patternFill>
    </fill>
    <fill>
      <patternFill patternType="solid">
        <fgColor rgb="FFD5D8DB"/>
        <bgColor rgb="FFD5D8DB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649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AC5"/>
        <bgColor indexed="64"/>
      </patternFill>
    </fill>
    <fill>
      <patternFill patternType="solid">
        <fgColor rgb="FF0000FC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334BFF"/>
      </bottom>
      <diagonal/>
    </border>
    <border>
      <left style="thin">
        <color rgb="FF334BFF"/>
      </left>
      <right style="thin">
        <color rgb="FF334BFF"/>
      </right>
      <top style="thin">
        <color rgb="FF334BFF"/>
      </top>
      <bottom style="thin">
        <color rgb="FF334BFF"/>
      </bottom>
      <diagonal/>
    </border>
    <border>
      <left style="thin">
        <color rgb="FFD5D8DB"/>
      </left>
      <right style="thin">
        <color rgb="FFD5D8DB"/>
      </right>
      <top style="thin">
        <color rgb="FFD5D8DB"/>
      </top>
      <bottom style="thin">
        <color rgb="FFD5D8DB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rgb="FF000000"/>
      </bottom>
      <diagonal/>
    </border>
    <border>
      <left/>
      <right style="dotted">
        <color auto="1"/>
      </right>
      <top style="thin">
        <color rgb="FF000000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8" fillId="0" borderId="0" applyFont="0" applyFill="0" applyBorder="0" applyAlignment="0" applyProtection="0"/>
    <xf numFmtId="0" fontId="17" fillId="0" borderId="13"/>
    <xf numFmtId="0" fontId="19" fillId="0" borderId="13" applyNumberFormat="0" applyBorder="0" applyAlignment="0"/>
    <xf numFmtId="0" fontId="1" fillId="0" borderId="13"/>
    <xf numFmtId="164" fontId="1" fillId="0" borderId="13" applyFont="0" applyFill="0" applyBorder="0" applyAlignment="0" applyProtection="0"/>
    <xf numFmtId="0" fontId="53" fillId="0" borderId="13"/>
    <xf numFmtId="9" fontId="53" fillId="0" borderId="13" applyFont="0" applyFill="0" applyBorder="0" applyAlignment="0" applyProtection="0"/>
    <xf numFmtId="0" fontId="64" fillId="0" borderId="13" applyNumberFormat="0" applyFill="0" applyBorder="0" applyAlignment="0" applyProtection="0"/>
  </cellStyleXfs>
  <cellXfs count="425">
    <xf numFmtId="0" fontId="0" fillId="0" borderId="0" xfId="0"/>
    <xf numFmtId="0" fontId="4" fillId="0" borderId="0" xfId="0" applyFont="1"/>
    <xf numFmtId="0" fontId="5" fillId="0" borderId="0" xfId="0" applyFont="1"/>
    <xf numFmtId="165" fontId="3" fillId="0" borderId="3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44" fontId="5" fillId="0" borderId="0" xfId="0" applyNumberFormat="1" applyFont="1"/>
    <xf numFmtId="0" fontId="5" fillId="0" borderId="4" xfId="0" applyFont="1" applyBorder="1"/>
    <xf numFmtId="0" fontId="8" fillId="0" borderId="0" xfId="0" applyFont="1"/>
    <xf numFmtId="171" fontId="3" fillId="5" borderId="8" xfId="0" applyNumberFormat="1" applyFont="1" applyFill="1" applyBorder="1" applyAlignment="1">
      <alignment horizontal="left"/>
    </xf>
    <xf numFmtId="170" fontId="5" fillId="6" borderId="8" xfId="0" applyNumberFormat="1" applyFont="1" applyFill="1" applyBorder="1"/>
    <xf numFmtId="170" fontId="8" fillId="6" borderId="8" xfId="0" applyNumberFormat="1" applyFont="1" applyFill="1" applyBorder="1"/>
    <xf numFmtId="170" fontId="3" fillId="4" borderId="8" xfId="0" applyNumberFormat="1" applyFont="1" applyFill="1" applyBorder="1"/>
    <xf numFmtId="44" fontId="3" fillId="4" borderId="8" xfId="0" applyNumberFormat="1" applyFont="1" applyFill="1" applyBorder="1"/>
    <xf numFmtId="170" fontId="5" fillId="5" borderId="8" xfId="0" applyNumberFormat="1" applyFont="1" applyFill="1" applyBorder="1"/>
    <xf numFmtId="170" fontId="5" fillId="5" borderId="9" xfId="0" applyNumberFormat="1" applyFont="1" applyFill="1" applyBorder="1"/>
    <xf numFmtId="44" fontId="5" fillId="0" borderId="10" xfId="0" applyNumberFormat="1" applyFont="1" applyBorder="1"/>
    <xf numFmtId="10" fontId="5" fillId="0" borderId="0" xfId="0" applyNumberFormat="1" applyFont="1"/>
    <xf numFmtId="172" fontId="5" fillId="0" borderId="0" xfId="0" applyNumberFormat="1" applyFont="1"/>
    <xf numFmtId="168" fontId="5" fillId="0" borderId="0" xfId="0" applyNumberFormat="1" applyFont="1"/>
    <xf numFmtId="0" fontId="0" fillId="0" borderId="0" xfId="0" applyAlignment="1">
      <alignment horizontal="left"/>
    </xf>
    <xf numFmtId="173" fontId="14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left"/>
    </xf>
    <xf numFmtId="171" fontId="5" fillId="5" borderId="13" xfId="0" applyNumberFormat="1" applyFont="1" applyFill="1" applyBorder="1" applyAlignment="1">
      <alignment horizontal="left"/>
    </xf>
    <xf numFmtId="170" fontId="7" fillId="5" borderId="13" xfId="0" applyNumberFormat="1" applyFont="1" applyFill="1" applyBorder="1"/>
    <xf numFmtId="170" fontId="7" fillId="5" borderId="4" xfId="0" applyNumberFormat="1" applyFont="1" applyFill="1" applyBorder="1"/>
    <xf numFmtId="171" fontId="3" fillId="5" borderId="13" xfId="0" applyNumberFormat="1" applyFont="1" applyFill="1" applyBorder="1" applyAlignment="1">
      <alignment horizontal="left"/>
    </xf>
    <xf numFmtId="0" fontId="2" fillId="2" borderId="13" xfId="0" applyFont="1" applyFill="1" applyBorder="1"/>
    <xf numFmtId="0" fontId="3" fillId="2" borderId="13" xfId="0" applyFont="1" applyFill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70" fontId="9" fillId="4" borderId="13" xfId="0" applyNumberFormat="1" applyFont="1" applyFill="1" applyBorder="1"/>
    <xf numFmtId="170" fontId="9" fillId="4" borderId="4" xfId="0" applyNumberFormat="1" applyFont="1" applyFill="1" applyBorder="1"/>
    <xf numFmtId="44" fontId="9" fillId="4" borderId="13" xfId="0" applyNumberFormat="1" applyFont="1" applyFill="1" applyBorder="1"/>
    <xf numFmtId="170" fontId="7" fillId="6" borderId="13" xfId="0" applyNumberFormat="1" applyFont="1" applyFill="1" applyBorder="1"/>
    <xf numFmtId="170" fontId="8" fillId="6" borderId="13" xfId="0" applyNumberFormat="1" applyFont="1" applyFill="1" applyBorder="1"/>
    <xf numFmtId="170" fontId="7" fillId="6" borderId="4" xfId="0" applyNumberFormat="1" applyFont="1" applyFill="1" applyBorder="1"/>
    <xf numFmtId="171" fontId="9" fillId="5" borderId="13" xfId="0" applyNumberFormat="1" applyFont="1" applyFill="1" applyBorder="1" applyAlignment="1">
      <alignment horizontal="left"/>
    </xf>
    <xf numFmtId="170" fontId="5" fillId="6" borderId="13" xfId="0" applyNumberFormat="1" applyFont="1" applyFill="1" applyBorder="1"/>
    <xf numFmtId="170" fontId="5" fillId="6" borderId="4" xfId="0" applyNumberFormat="1" applyFont="1" applyFill="1" applyBorder="1"/>
    <xf numFmtId="44" fontId="5" fillId="0" borderId="8" xfId="0" applyNumberFormat="1" applyFont="1" applyBorder="1"/>
    <xf numFmtId="171" fontId="3" fillId="5" borderId="10" xfId="0" applyNumberFormat="1" applyFont="1" applyFill="1" applyBorder="1" applyAlignment="1">
      <alignment horizontal="left"/>
    </xf>
    <xf numFmtId="170" fontId="3" fillId="4" borderId="10" xfId="0" applyNumberFormat="1" applyFont="1" applyFill="1" applyBorder="1"/>
    <xf numFmtId="170" fontId="3" fillId="4" borderId="12" xfId="0" applyNumberFormat="1" applyFont="1" applyFill="1" applyBorder="1"/>
    <xf numFmtId="44" fontId="3" fillId="4" borderId="10" xfId="0" applyNumberFormat="1" applyFont="1" applyFill="1" applyBorder="1"/>
    <xf numFmtId="170" fontId="5" fillId="5" borderId="10" xfId="0" applyNumberFormat="1" applyFont="1" applyFill="1" applyBorder="1"/>
    <xf numFmtId="170" fontId="5" fillId="5" borderId="12" xfId="0" applyNumberFormat="1" applyFont="1" applyFill="1" applyBorder="1"/>
    <xf numFmtId="0" fontId="5" fillId="5" borderId="13" xfId="0" applyFont="1" applyFill="1" applyBorder="1"/>
    <xf numFmtId="0" fontId="10" fillId="5" borderId="13" xfId="0" applyFont="1" applyFill="1" applyBorder="1" applyAlignment="1">
      <alignment horizontal="left"/>
    </xf>
    <xf numFmtId="0" fontId="10" fillId="5" borderId="13" xfId="0" applyFont="1" applyFill="1" applyBorder="1"/>
    <xf numFmtId="10" fontId="10" fillId="5" borderId="13" xfId="0" applyNumberFormat="1" applyFont="1" applyFill="1" applyBorder="1"/>
    <xf numFmtId="171" fontId="8" fillId="5" borderId="13" xfId="0" applyNumberFormat="1" applyFont="1" applyFill="1" applyBorder="1" applyAlignment="1">
      <alignment horizontal="left"/>
    </xf>
    <xf numFmtId="171" fontId="3" fillId="5" borderId="13" xfId="0" applyNumberFormat="1" applyFont="1" applyFill="1" applyBorder="1"/>
    <xf numFmtId="171" fontId="13" fillId="5" borderId="13" xfId="0" applyNumberFormat="1" applyFont="1" applyFill="1" applyBorder="1" applyAlignment="1">
      <alignment horizontal="left"/>
    </xf>
    <xf numFmtId="0" fontId="5" fillId="0" borderId="13" xfId="0" applyFont="1" applyBorder="1"/>
    <xf numFmtId="0" fontId="2" fillId="9" borderId="13" xfId="0" applyFont="1" applyFill="1" applyBorder="1"/>
    <xf numFmtId="0" fontId="10" fillId="9" borderId="13" xfId="0" applyFont="1" applyFill="1" applyBorder="1"/>
    <xf numFmtId="171" fontId="11" fillId="9" borderId="13" xfId="0" applyNumberFormat="1" applyFont="1" applyFill="1" applyBorder="1"/>
    <xf numFmtId="0" fontId="5" fillId="9" borderId="13" xfId="0" applyFont="1" applyFill="1" applyBorder="1"/>
    <xf numFmtId="0" fontId="4" fillId="9" borderId="13" xfId="0" applyFont="1" applyFill="1" applyBorder="1"/>
    <xf numFmtId="165" fontId="3" fillId="9" borderId="13" xfId="0" applyNumberFormat="1" applyFont="1" applyFill="1" applyBorder="1" applyAlignment="1">
      <alignment horizontal="center"/>
    </xf>
    <xf numFmtId="166" fontId="3" fillId="9" borderId="13" xfId="0" applyNumberFormat="1" applyFont="1" applyFill="1" applyBorder="1" applyAlignment="1">
      <alignment horizontal="center"/>
    </xf>
    <xf numFmtId="0" fontId="3" fillId="9" borderId="13" xfId="0" applyFont="1" applyFill="1" applyBorder="1"/>
    <xf numFmtId="10" fontId="5" fillId="9" borderId="13" xfId="0" applyNumberFormat="1" applyFont="1" applyFill="1" applyBorder="1"/>
    <xf numFmtId="2" fontId="5" fillId="9" borderId="13" xfId="0" applyNumberFormat="1" applyFont="1" applyFill="1" applyBorder="1"/>
    <xf numFmtId="0" fontId="12" fillId="9" borderId="13" xfId="0" applyFont="1" applyFill="1" applyBorder="1" applyAlignment="1">
      <alignment horizontal="left"/>
    </xf>
    <xf numFmtId="0" fontId="5" fillId="9" borderId="13" xfId="0" applyFont="1" applyFill="1" applyBorder="1" applyAlignment="1">
      <alignment horizontal="left"/>
    </xf>
    <xf numFmtId="43" fontId="5" fillId="9" borderId="13" xfId="0" applyNumberFormat="1" applyFont="1" applyFill="1" applyBorder="1"/>
    <xf numFmtId="10" fontId="5" fillId="9" borderId="13" xfId="0" applyNumberFormat="1" applyFont="1" applyFill="1" applyBorder="1" applyAlignment="1">
      <alignment horizontal="right"/>
    </xf>
    <xf numFmtId="0" fontId="20" fillId="0" borderId="0" xfId="0" applyFont="1"/>
    <xf numFmtId="0" fontId="21" fillId="8" borderId="0" xfId="0" applyFont="1" applyFill="1"/>
    <xf numFmtId="0" fontId="22" fillId="8" borderId="0" xfId="0" applyFont="1" applyFill="1"/>
    <xf numFmtId="0" fontId="20" fillId="0" borderId="19" xfId="0" applyFont="1" applyBorder="1"/>
    <xf numFmtId="0" fontId="23" fillId="0" borderId="19" xfId="0" applyFont="1" applyBorder="1"/>
    <xf numFmtId="0" fontId="23" fillId="0" borderId="0" xfId="0" applyFont="1"/>
    <xf numFmtId="0" fontId="20" fillId="0" borderId="13" xfId="0" applyFont="1" applyBorder="1"/>
    <xf numFmtId="0" fontId="23" fillId="0" borderId="13" xfId="0" applyFont="1" applyBorder="1"/>
    <xf numFmtId="0" fontId="20" fillId="0" borderId="0" xfId="0" applyFont="1" applyAlignment="1">
      <alignment horizontal="left"/>
    </xf>
    <xf numFmtId="10" fontId="20" fillId="0" borderId="0" xfId="0" applyNumberFormat="1" applyFont="1" applyAlignment="1">
      <alignment horizontal="left"/>
    </xf>
    <xf numFmtId="0" fontId="20" fillId="0" borderId="13" xfId="0" applyFont="1" applyBorder="1" applyAlignment="1">
      <alignment horizontal="left"/>
    </xf>
    <xf numFmtId="0" fontId="20" fillId="24" borderId="0" xfId="0" applyFont="1" applyFill="1" applyAlignment="1">
      <alignment horizontal="left"/>
    </xf>
    <xf numFmtId="0" fontId="20" fillId="24" borderId="0" xfId="0" applyFont="1" applyFill="1"/>
    <xf numFmtId="0" fontId="24" fillId="0" borderId="0" xfId="0" applyFont="1"/>
    <xf numFmtId="0" fontId="24" fillId="0" borderId="19" xfId="0" applyFont="1" applyBorder="1"/>
    <xf numFmtId="0" fontId="25" fillId="0" borderId="0" xfId="0" applyFont="1"/>
    <xf numFmtId="10" fontId="25" fillId="0" borderId="13" xfId="0" applyNumberFormat="1" applyFont="1" applyBorder="1" applyAlignment="1">
      <alignment horizontal="left"/>
    </xf>
    <xf numFmtId="10" fontId="25" fillId="0" borderId="0" xfId="1" applyNumberFormat="1" applyFont="1" applyAlignment="1">
      <alignment horizontal="left"/>
    </xf>
    <xf numFmtId="0" fontId="25" fillId="0" borderId="0" xfId="0" applyFont="1" applyAlignment="1">
      <alignment horizontal="left"/>
    </xf>
    <xf numFmtId="10" fontId="25" fillId="0" borderId="0" xfId="0" applyNumberFormat="1" applyFont="1" applyAlignment="1">
      <alignment horizontal="left"/>
    </xf>
    <xf numFmtId="0" fontId="20" fillId="0" borderId="18" xfId="0" applyFont="1" applyBorder="1"/>
    <xf numFmtId="10" fontId="25" fillId="0" borderId="18" xfId="0" applyNumberFormat="1" applyFont="1" applyBorder="1" applyAlignment="1">
      <alignment horizontal="left"/>
    </xf>
    <xf numFmtId="0" fontId="26" fillId="0" borderId="0" xfId="0" applyFont="1" applyAlignment="1">
      <alignment horizontal="center"/>
    </xf>
    <xf numFmtId="0" fontId="26" fillId="0" borderId="1" xfId="0" applyFont="1" applyBorder="1"/>
    <xf numFmtId="0" fontId="27" fillId="0" borderId="0" xfId="0" applyFont="1"/>
    <xf numFmtId="49" fontId="26" fillId="0" borderId="0" xfId="0" applyNumberFormat="1" applyFont="1" applyAlignment="1">
      <alignment horizontal="center"/>
    </xf>
    <xf numFmtId="0" fontId="22" fillId="2" borderId="13" xfId="0" applyFont="1" applyFill="1" applyBorder="1"/>
    <xf numFmtId="0" fontId="23" fillId="2" borderId="13" xfId="0" applyFont="1" applyFill="1" applyBorder="1" applyAlignment="1">
      <alignment horizontal="right"/>
    </xf>
    <xf numFmtId="0" fontId="20" fillId="3" borderId="2" xfId="0" applyFont="1" applyFill="1" applyBorder="1"/>
    <xf numFmtId="165" fontId="23" fillId="0" borderId="11" xfId="0" applyNumberFormat="1" applyFont="1" applyBorder="1" applyAlignment="1">
      <alignment horizontal="center"/>
    </xf>
    <xf numFmtId="166" fontId="23" fillId="0" borderId="11" xfId="0" applyNumberFormat="1" applyFont="1" applyBorder="1" applyAlignment="1">
      <alignment horizontal="center"/>
    </xf>
    <xf numFmtId="0" fontId="26" fillId="0" borderId="0" xfId="0" applyFont="1"/>
    <xf numFmtId="0" fontId="26" fillId="0" borderId="8" xfId="0" applyFont="1" applyBorder="1"/>
    <xf numFmtId="0" fontId="28" fillId="4" borderId="13" xfId="0" applyFont="1" applyFill="1" applyBorder="1"/>
    <xf numFmtId="0" fontId="26" fillId="4" borderId="13" xfId="0" applyFont="1" applyFill="1" applyBorder="1"/>
    <xf numFmtId="0" fontId="20" fillId="0" borderId="0" xfId="0" applyFont="1" applyAlignment="1">
      <alignment horizontal="right"/>
    </xf>
    <xf numFmtId="171" fontId="20" fillId="5" borderId="13" xfId="0" applyNumberFormat="1" applyFont="1" applyFill="1" applyBorder="1" applyAlignment="1">
      <alignment horizontal="left"/>
    </xf>
    <xf numFmtId="170" fontId="25" fillId="5" borderId="13" xfId="0" applyNumberFormat="1" applyFont="1" applyFill="1" applyBorder="1"/>
    <xf numFmtId="170" fontId="20" fillId="5" borderId="13" xfId="0" applyNumberFormat="1" applyFont="1" applyFill="1" applyBorder="1"/>
    <xf numFmtId="170" fontId="20" fillId="5" borderId="0" xfId="0" applyNumberFormat="1" applyFont="1" applyFill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9" fontId="29" fillId="0" borderId="0" xfId="0" applyNumberFormat="1" applyFont="1"/>
    <xf numFmtId="167" fontId="30" fillId="0" borderId="0" xfId="0" applyNumberFormat="1" applyFont="1"/>
    <xf numFmtId="0" fontId="31" fillId="0" borderId="8" xfId="0" applyFont="1" applyBorder="1"/>
    <xf numFmtId="170" fontId="31" fillId="0" borderId="8" xfId="0" applyNumberFormat="1" applyFont="1" applyBorder="1"/>
    <xf numFmtId="170" fontId="26" fillId="0" borderId="0" xfId="0" applyNumberFormat="1" applyFont="1"/>
    <xf numFmtId="10" fontId="26" fillId="0" borderId="0" xfId="0" applyNumberFormat="1" applyFont="1"/>
    <xf numFmtId="10" fontId="32" fillId="0" borderId="0" xfId="0" applyNumberFormat="1" applyFont="1"/>
    <xf numFmtId="0" fontId="31" fillId="0" borderId="0" xfId="0" applyFont="1"/>
    <xf numFmtId="9" fontId="26" fillId="0" borderId="0" xfId="0" applyNumberFormat="1" applyFont="1"/>
    <xf numFmtId="165" fontId="23" fillId="4" borderId="13" xfId="0" applyNumberFormat="1" applyFont="1" applyFill="1" applyBorder="1" applyAlignment="1">
      <alignment horizontal="center"/>
    </xf>
    <xf numFmtId="170" fontId="33" fillId="0" borderId="0" xfId="0" applyNumberFormat="1" applyFont="1"/>
    <xf numFmtId="44" fontId="31" fillId="0" borderId="0" xfId="0" applyNumberFormat="1" applyFont="1"/>
    <xf numFmtId="167" fontId="26" fillId="0" borderId="0" xfId="0" applyNumberFormat="1" applyFont="1"/>
    <xf numFmtId="0" fontId="29" fillId="0" borderId="5" xfId="0" applyFont="1" applyBorder="1" applyAlignment="1">
      <alignment horizontal="left"/>
    </xf>
    <xf numFmtId="167" fontId="29" fillId="0" borderId="8" xfId="0" applyNumberFormat="1" applyFont="1" applyBorder="1"/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6" fillId="0" borderId="11" xfId="0" applyFont="1" applyBorder="1"/>
    <xf numFmtId="167" fontId="29" fillId="0" borderId="11" xfId="0" applyNumberFormat="1" applyFont="1" applyBorder="1"/>
    <xf numFmtId="0" fontId="34" fillId="0" borderId="0" xfId="0" applyFont="1"/>
    <xf numFmtId="167" fontId="29" fillId="0" borderId="0" xfId="0" applyNumberFormat="1" applyFont="1"/>
    <xf numFmtId="167" fontId="35" fillId="0" borderId="0" xfId="0" applyNumberFormat="1" applyFont="1"/>
    <xf numFmtId="49" fontId="26" fillId="0" borderId="0" xfId="0" applyNumberFormat="1" applyFont="1"/>
    <xf numFmtId="170" fontId="33" fillId="0" borderId="13" xfId="0" applyNumberFormat="1" applyFont="1" applyBorder="1"/>
    <xf numFmtId="170" fontId="31" fillId="0" borderId="0" xfId="0" applyNumberFormat="1" applyFont="1"/>
    <xf numFmtId="49" fontId="36" fillId="2" borderId="13" xfId="0" applyNumberFormat="1" applyFont="1" applyFill="1" applyBorder="1"/>
    <xf numFmtId="0" fontId="37" fillId="2" borderId="13" xfId="0" applyFont="1" applyFill="1" applyBorder="1"/>
    <xf numFmtId="49" fontId="29" fillId="0" borderId="0" xfId="0" applyNumberFormat="1" applyFont="1"/>
    <xf numFmtId="169" fontId="35" fillId="0" borderId="0" xfId="0" applyNumberFormat="1" applyFont="1"/>
    <xf numFmtId="0" fontId="29" fillId="0" borderId="14" xfId="0" applyFont="1" applyBorder="1" applyAlignment="1">
      <alignment horizontal="left" indent="2"/>
    </xf>
    <xf numFmtId="0" fontId="29" fillId="0" borderId="15" xfId="0" applyFont="1" applyBorder="1" applyAlignment="1">
      <alignment horizontal="left" indent="2"/>
    </xf>
    <xf numFmtId="0" fontId="29" fillId="0" borderId="16" xfId="0" applyFont="1" applyBorder="1" applyAlignment="1">
      <alignment horizontal="left" indent="2"/>
    </xf>
    <xf numFmtId="170" fontId="34" fillId="0" borderId="0" xfId="0" applyNumberFormat="1" applyFont="1"/>
    <xf numFmtId="170" fontId="27" fillId="0" borderId="0" xfId="0" applyNumberFormat="1" applyFont="1"/>
    <xf numFmtId="49" fontId="36" fillId="7" borderId="0" xfId="0" applyNumberFormat="1" applyFont="1" applyFill="1"/>
    <xf numFmtId="0" fontId="37" fillId="7" borderId="0" xfId="0" applyFont="1" applyFill="1"/>
    <xf numFmtId="166" fontId="23" fillId="0" borderId="13" xfId="0" applyNumberFormat="1" applyFont="1" applyBorder="1" applyAlignment="1">
      <alignment horizontal="center"/>
    </xf>
    <xf numFmtId="0" fontId="28" fillId="10" borderId="0" xfId="0" applyFont="1" applyFill="1"/>
    <xf numFmtId="0" fontId="26" fillId="10" borderId="0" xfId="0" applyFont="1" applyFill="1"/>
    <xf numFmtId="0" fontId="38" fillId="0" borderId="0" xfId="0" applyFont="1"/>
    <xf numFmtId="168" fontId="27" fillId="0" borderId="0" xfId="0" applyNumberFormat="1" applyFont="1"/>
    <xf numFmtId="0" fontId="40" fillId="0" borderId="13" xfId="4" applyFont="1"/>
    <xf numFmtId="0" fontId="41" fillId="0" borderId="13" xfId="4" applyFont="1"/>
    <xf numFmtId="0" fontId="41" fillId="0" borderId="13" xfId="5" applyNumberFormat="1" applyFont="1"/>
    <xf numFmtId="175" fontId="40" fillId="0" borderId="13" xfId="4" applyNumberFormat="1" applyFont="1"/>
    <xf numFmtId="175" fontId="20" fillId="0" borderId="13" xfId="5" applyNumberFormat="1" applyFont="1"/>
    <xf numFmtId="0" fontId="20" fillId="0" borderId="13" xfId="5" applyNumberFormat="1" applyFont="1"/>
    <xf numFmtId="0" fontId="43" fillId="20" borderId="13" xfId="4" applyFont="1" applyFill="1" applyAlignment="1">
      <alignment horizontal="left"/>
    </xf>
    <xf numFmtId="0" fontId="44" fillId="20" borderId="19" xfId="4" applyFont="1" applyFill="1" applyBorder="1"/>
    <xf numFmtId="0" fontId="44" fillId="21" borderId="19" xfId="4" applyFont="1" applyFill="1" applyBorder="1"/>
    <xf numFmtId="0" fontId="44" fillId="22" borderId="13" xfId="4" applyFont="1" applyFill="1"/>
    <xf numFmtId="175" fontId="44" fillId="22" borderId="13" xfId="4" applyNumberFormat="1" applyFont="1" applyFill="1"/>
    <xf numFmtId="0" fontId="44" fillId="23" borderId="13" xfId="4" applyFont="1" applyFill="1"/>
    <xf numFmtId="0" fontId="45" fillId="20" borderId="13" xfId="4" applyFont="1" applyFill="1"/>
    <xf numFmtId="175" fontId="45" fillId="20" borderId="13" xfId="4" applyNumberFormat="1" applyFont="1" applyFill="1"/>
    <xf numFmtId="0" fontId="45" fillId="21" borderId="13" xfId="4" applyFont="1" applyFill="1"/>
    <xf numFmtId="175" fontId="45" fillId="20" borderId="13" xfId="5" applyNumberFormat="1" applyFont="1" applyFill="1"/>
    <xf numFmtId="0" fontId="45" fillId="20" borderId="13" xfId="5" applyNumberFormat="1" applyFont="1" applyFill="1"/>
    <xf numFmtId="0" fontId="43" fillId="20" borderId="19" xfId="4" applyFont="1" applyFill="1" applyBorder="1"/>
    <xf numFmtId="0" fontId="45" fillId="20" borderId="19" xfId="4" applyFont="1" applyFill="1" applyBorder="1"/>
    <xf numFmtId="2" fontId="43" fillId="21" borderId="19" xfId="4" applyNumberFormat="1" applyFont="1" applyFill="1" applyBorder="1"/>
    <xf numFmtId="0" fontId="43" fillId="20" borderId="13" xfId="4" applyFont="1" applyFill="1"/>
    <xf numFmtId="2" fontId="43" fillId="21" borderId="13" xfId="4" applyNumberFormat="1" applyFont="1" applyFill="1"/>
    <xf numFmtId="0" fontId="44" fillId="0" borderId="13" xfId="4" applyFont="1"/>
    <xf numFmtId="0" fontId="45" fillId="0" borderId="13" xfId="4" applyFont="1"/>
    <xf numFmtId="0" fontId="23" fillId="8" borderId="0" xfId="0" applyFont="1" applyFill="1" applyAlignment="1">
      <alignment horizontal="right"/>
    </xf>
    <xf numFmtId="165" fontId="23" fillId="0" borderId="19" xfId="0" applyNumberFormat="1" applyFont="1" applyBorder="1" applyAlignment="1">
      <alignment horizontal="center"/>
    </xf>
    <xf numFmtId="165" fontId="23" fillId="0" borderId="20" xfId="0" applyNumberFormat="1" applyFont="1" applyBorder="1" applyAlignment="1">
      <alignment horizontal="center"/>
    </xf>
    <xf numFmtId="166" fontId="23" fillId="0" borderId="19" xfId="0" applyNumberFormat="1" applyFont="1" applyBorder="1" applyAlignment="1">
      <alignment horizontal="center"/>
    </xf>
    <xf numFmtId="170" fontId="46" fillId="9" borderId="13" xfId="0" applyNumberFormat="1" applyFont="1" applyFill="1" applyBorder="1"/>
    <xf numFmtId="170" fontId="46" fillId="9" borderId="0" xfId="0" applyNumberFormat="1" applyFont="1" applyFill="1"/>
    <xf numFmtId="170" fontId="46" fillId="9" borderId="14" xfId="0" applyNumberFormat="1" applyFont="1" applyFill="1" applyBorder="1"/>
    <xf numFmtId="170" fontId="46" fillId="9" borderId="15" xfId="0" applyNumberFormat="1" applyFont="1" applyFill="1" applyBorder="1"/>
    <xf numFmtId="170" fontId="25" fillId="9" borderId="0" xfId="0" applyNumberFormat="1" applyFont="1" applyFill="1"/>
    <xf numFmtId="170" fontId="46" fillId="9" borderId="4" xfId="0" applyNumberFormat="1" applyFont="1" applyFill="1" applyBorder="1"/>
    <xf numFmtId="176" fontId="46" fillId="9" borderId="13" xfId="0" applyNumberFormat="1" applyFont="1" applyFill="1" applyBorder="1"/>
    <xf numFmtId="176" fontId="46" fillId="9" borderId="0" xfId="0" applyNumberFormat="1" applyFont="1" applyFill="1"/>
    <xf numFmtId="0" fontId="20" fillId="0" borderId="0" xfId="0" applyFont="1" applyAlignment="1">
      <alignment horizontal="left" indent="1"/>
    </xf>
    <xf numFmtId="0" fontId="23" fillId="0" borderId="18" xfId="0" applyFont="1" applyBorder="1"/>
    <xf numFmtId="44" fontId="20" fillId="0" borderId="8" xfId="0" applyNumberFormat="1" applyFont="1" applyBorder="1"/>
    <xf numFmtId="44" fontId="20" fillId="0" borderId="9" xfId="0" applyNumberFormat="1" applyFont="1" applyBorder="1"/>
    <xf numFmtId="0" fontId="20" fillId="0" borderId="4" xfId="0" applyFont="1" applyBorder="1"/>
    <xf numFmtId="2" fontId="20" fillId="0" borderId="13" xfId="0" applyNumberFormat="1" applyFont="1" applyBorder="1"/>
    <xf numFmtId="2" fontId="20" fillId="0" borderId="0" xfId="0" applyNumberFormat="1" applyFont="1"/>
    <xf numFmtId="9" fontId="20" fillId="0" borderId="0" xfId="0" applyNumberFormat="1" applyFont="1"/>
    <xf numFmtId="44" fontId="20" fillId="0" borderId="0" xfId="0" applyNumberFormat="1" applyFont="1"/>
    <xf numFmtId="9" fontId="20" fillId="0" borderId="4" xfId="0" applyNumberFormat="1" applyFont="1" applyBorder="1"/>
    <xf numFmtId="175" fontId="20" fillId="0" borderId="13" xfId="0" applyNumberFormat="1" applyFont="1" applyBorder="1"/>
    <xf numFmtId="175" fontId="20" fillId="0" borderId="0" xfId="0" applyNumberFormat="1" applyFont="1"/>
    <xf numFmtId="0" fontId="47" fillId="8" borderId="0" xfId="0" applyFont="1" applyFill="1"/>
    <xf numFmtId="0" fontId="20" fillId="8" borderId="0" xfId="0" applyFont="1" applyFill="1"/>
    <xf numFmtId="10" fontId="20" fillId="0" borderId="0" xfId="0" applyNumberFormat="1" applyFont="1"/>
    <xf numFmtId="167" fontId="20" fillId="0" borderId="0" xfId="0" applyNumberFormat="1" applyFont="1"/>
    <xf numFmtId="4" fontId="20" fillId="0" borderId="0" xfId="0" applyNumberFormat="1" applyFont="1"/>
    <xf numFmtId="10" fontId="20" fillId="0" borderId="13" xfId="1" applyNumberFormat="1" applyFont="1" applyFill="1" applyBorder="1"/>
    <xf numFmtId="10" fontId="20" fillId="0" borderId="13" xfId="1" applyNumberFormat="1" applyFont="1" applyBorder="1"/>
    <xf numFmtId="0" fontId="26" fillId="0" borderId="13" xfId="0" applyFont="1" applyBorder="1" applyAlignment="1">
      <alignment horizontal="center"/>
    </xf>
    <xf numFmtId="44" fontId="20" fillId="0" borderId="13" xfId="0" applyNumberFormat="1" applyFont="1" applyBorder="1"/>
    <xf numFmtId="167" fontId="23" fillId="0" borderId="18" xfId="0" applyNumberFormat="1" applyFont="1" applyBorder="1"/>
    <xf numFmtId="0" fontId="31" fillId="0" borderId="0" xfId="0" applyFont="1" applyAlignment="1">
      <alignment horizontal="center"/>
    </xf>
    <xf numFmtId="177" fontId="38" fillId="0" borderId="0" xfId="2" applyNumberFormat="1" applyFont="1" applyBorder="1" applyAlignment="1">
      <alignment wrapText="1"/>
    </xf>
    <xf numFmtId="177" fontId="38" fillId="0" borderId="13" xfId="2" applyNumberFormat="1" applyFont="1" applyAlignment="1">
      <alignment wrapText="1"/>
    </xf>
    <xf numFmtId="0" fontId="20" fillId="0" borderId="0" xfId="2" applyFont="1" applyBorder="1"/>
    <xf numFmtId="177" fontId="38" fillId="11" borderId="18" xfId="2" applyNumberFormat="1" applyFont="1" applyFill="1" applyBorder="1" applyAlignment="1">
      <alignment wrapText="1"/>
    </xf>
    <xf numFmtId="177" fontId="38" fillId="11" borderId="21" xfId="2" applyNumberFormat="1" applyFont="1" applyFill="1" applyBorder="1" applyAlignment="1">
      <alignment wrapText="1"/>
    </xf>
    <xf numFmtId="177" fontId="38" fillId="11" borderId="22" xfId="2" applyNumberFormat="1" applyFont="1" applyFill="1" applyBorder="1" applyAlignment="1">
      <alignment wrapText="1"/>
    </xf>
    <xf numFmtId="177" fontId="38" fillId="11" borderId="23" xfId="2" applyNumberFormat="1" applyFont="1" applyFill="1" applyBorder="1" applyAlignment="1">
      <alignment wrapText="1"/>
    </xf>
    <xf numFmtId="177" fontId="38" fillId="11" borderId="24" xfId="2" applyNumberFormat="1" applyFont="1" applyFill="1" applyBorder="1" applyAlignment="1">
      <alignment wrapText="1"/>
    </xf>
    <xf numFmtId="177" fontId="38" fillId="11" borderId="19" xfId="2" applyNumberFormat="1" applyFont="1" applyFill="1" applyBorder="1" applyAlignment="1">
      <alignment wrapText="1"/>
    </xf>
    <xf numFmtId="177" fontId="38" fillId="12" borderId="24" xfId="2" applyNumberFormat="1" applyFont="1" applyFill="1" applyBorder="1" applyAlignment="1">
      <alignment wrapText="1"/>
    </xf>
    <xf numFmtId="177" fontId="38" fillId="13" borderId="24" xfId="2" applyNumberFormat="1" applyFont="1" applyFill="1" applyBorder="1" applyAlignment="1">
      <alignment wrapText="1"/>
    </xf>
    <xf numFmtId="177" fontId="38" fillId="14" borderId="24" xfId="2" applyNumberFormat="1" applyFont="1" applyFill="1" applyBorder="1" applyAlignment="1">
      <alignment horizontal="left"/>
    </xf>
    <xf numFmtId="177" fontId="38" fillId="14" borderId="24" xfId="2" applyNumberFormat="1" applyFont="1" applyFill="1" applyBorder="1" applyAlignment="1">
      <alignment horizontal="right"/>
    </xf>
    <xf numFmtId="177" fontId="38" fillId="13" borderId="24" xfId="2" applyNumberFormat="1" applyFont="1" applyFill="1" applyBorder="1" applyAlignment="1">
      <alignment horizontal="right"/>
    </xf>
    <xf numFmtId="177" fontId="38" fillId="11" borderId="24" xfId="2" applyNumberFormat="1" applyFont="1" applyFill="1" applyBorder="1" applyAlignment="1">
      <alignment horizontal="left"/>
    </xf>
    <xf numFmtId="177" fontId="38" fillId="11" borderId="24" xfId="2" applyNumberFormat="1" applyFont="1" applyFill="1" applyBorder="1" applyAlignment="1">
      <alignment horizontal="right"/>
    </xf>
    <xf numFmtId="0" fontId="20" fillId="0" borderId="13" xfId="2" applyFont="1"/>
    <xf numFmtId="9" fontId="38" fillId="11" borderId="24" xfId="1" applyFont="1" applyFill="1" applyBorder="1" applyAlignment="1">
      <alignment horizontal="right"/>
    </xf>
    <xf numFmtId="10" fontId="38" fillId="13" borderId="24" xfId="1" applyNumberFormat="1" applyFont="1" applyFill="1" applyBorder="1" applyAlignment="1">
      <alignment horizontal="right"/>
    </xf>
    <xf numFmtId="177" fontId="38" fillId="11" borderId="17" xfId="2" applyNumberFormat="1" applyFont="1" applyFill="1" applyBorder="1" applyAlignment="1">
      <alignment horizontal="left"/>
    </xf>
    <xf numFmtId="10" fontId="20" fillId="0" borderId="13" xfId="2" applyNumberFormat="1" applyFont="1"/>
    <xf numFmtId="10" fontId="20" fillId="0" borderId="0" xfId="2" applyNumberFormat="1" applyFont="1" applyBorder="1"/>
    <xf numFmtId="177" fontId="38" fillId="11" borderId="13" xfId="2" applyNumberFormat="1" applyFont="1" applyFill="1" applyAlignment="1">
      <alignment horizontal="left"/>
    </xf>
    <xf numFmtId="9" fontId="38" fillId="11" borderId="13" xfId="1" applyFont="1" applyFill="1" applyBorder="1" applyAlignment="1">
      <alignment horizontal="right"/>
    </xf>
    <xf numFmtId="9" fontId="38" fillId="13" borderId="13" xfId="1" applyFont="1" applyFill="1" applyBorder="1" applyAlignment="1">
      <alignment horizontal="right"/>
    </xf>
    <xf numFmtId="9" fontId="38" fillId="13" borderId="24" xfId="1" applyFont="1" applyFill="1" applyBorder="1" applyAlignment="1">
      <alignment horizontal="right"/>
    </xf>
    <xf numFmtId="177" fontId="38" fillId="11" borderId="13" xfId="2" applyNumberFormat="1" applyFont="1" applyFill="1" applyAlignment="1">
      <alignment horizontal="right"/>
    </xf>
    <xf numFmtId="10" fontId="38" fillId="13" borderId="13" xfId="2" applyNumberFormat="1" applyFont="1" applyFill="1" applyAlignment="1">
      <alignment horizontal="right"/>
    </xf>
    <xf numFmtId="10" fontId="38" fillId="11" borderId="13" xfId="2" applyNumberFormat="1" applyFont="1" applyFill="1" applyAlignment="1">
      <alignment horizontal="right"/>
    </xf>
    <xf numFmtId="10" fontId="38" fillId="11" borderId="24" xfId="2" applyNumberFormat="1" applyFont="1" applyFill="1" applyBorder="1" applyAlignment="1">
      <alignment horizontal="right"/>
    </xf>
    <xf numFmtId="167" fontId="38" fillId="13" borderId="13" xfId="1" applyNumberFormat="1" applyFont="1" applyFill="1" applyBorder="1" applyAlignment="1">
      <alignment horizontal="right"/>
    </xf>
    <xf numFmtId="10" fontId="38" fillId="0" borderId="0" xfId="0" applyNumberFormat="1" applyFont="1"/>
    <xf numFmtId="177" fontId="38" fillId="11" borderId="23" xfId="2" applyNumberFormat="1" applyFont="1" applyFill="1" applyBorder="1" applyAlignment="1">
      <alignment horizontal="left"/>
    </xf>
    <xf numFmtId="10" fontId="38" fillId="11" borderId="24" xfId="1" applyNumberFormat="1" applyFont="1" applyFill="1" applyBorder="1" applyAlignment="1">
      <alignment horizontal="right"/>
    </xf>
    <xf numFmtId="167" fontId="38" fillId="13" borderId="24" xfId="1" applyNumberFormat="1" applyFont="1" applyFill="1" applyBorder="1" applyAlignment="1">
      <alignment horizontal="right"/>
    </xf>
    <xf numFmtId="44" fontId="20" fillId="0" borderId="0" xfId="2" applyNumberFormat="1" applyFont="1" applyBorder="1"/>
    <xf numFmtId="178" fontId="38" fillId="14" borderId="24" xfId="2" applyNumberFormat="1" applyFont="1" applyFill="1" applyBorder="1" applyAlignment="1">
      <alignment horizontal="right"/>
    </xf>
    <xf numFmtId="178" fontId="38" fillId="13" borderId="24" xfId="2" applyNumberFormat="1" applyFont="1" applyFill="1" applyBorder="1" applyAlignment="1">
      <alignment horizontal="right"/>
    </xf>
    <xf numFmtId="0" fontId="36" fillId="16" borderId="25" xfId="3" applyFont="1" applyFill="1" applyBorder="1"/>
    <xf numFmtId="0" fontId="37" fillId="16" borderId="25" xfId="3" applyFont="1" applyFill="1" applyBorder="1"/>
    <xf numFmtId="0" fontId="26" fillId="0" borderId="0" xfId="3" applyFont="1" applyBorder="1"/>
    <xf numFmtId="0" fontId="48" fillId="0" borderId="0" xfId="3" applyFont="1" applyBorder="1"/>
    <xf numFmtId="0" fontId="46" fillId="0" borderId="0" xfId="3" applyFont="1" applyBorder="1"/>
    <xf numFmtId="179" fontId="26" fillId="0" borderId="0" xfId="3" applyNumberFormat="1" applyFont="1" applyBorder="1" applyAlignment="1">
      <alignment horizontal="left"/>
    </xf>
    <xf numFmtId="0" fontId="37" fillId="16" borderId="26" xfId="3" applyFont="1" applyFill="1" applyBorder="1"/>
    <xf numFmtId="0" fontId="26" fillId="0" borderId="27" xfId="3" applyFont="1" applyBorder="1" applyAlignment="1">
      <alignment horizontal="left" vertical="center"/>
    </xf>
    <xf numFmtId="0" fontId="37" fillId="16" borderId="26" xfId="3" applyFont="1" applyFill="1" applyBorder="1" applyAlignment="1">
      <alignment wrapText="1"/>
    </xf>
    <xf numFmtId="0" fontId="37" fillId="16" borderId="26" xfId="3" applyFont="1" applyFill="1" applyBorder="1" applyAlignment="1">
      <alignment horizontal="left" vertical="center" wrapText="1"/>
    </xf>
    <xf numFmtId="0" fontId="31" fillId="17" borderId="27" xfId="3" applyFont="1" applyFill="1" applyBorder="1" applyAlignment="1">
      <alignment horizontal="left" vertical="center" wrapText="1"/>
    </xf>
    <xf numFmtId="0" fontId="46" fillId="17" borderId="27" xfId="3" applyFont="1" applyFill="1" applyBorder="1" applyAlignment="1">
      <alignment wrapText="1"/>
    </xf>
    <xf numFmtId="0" fontId="26" fillId="0" borderId="27" xfId="3" applyFont="1" applyBorder="1" applyAlignment="1">
      <alignment vertical="center" wrapText="1"/>
    </xf>
    <xf numFmtId="180" fontId="26" fillId="0" borderId="27" xfId="3" applyNumberFormat="1" applyFont="1" applyBorder="1" applyAlignment="1">
      <alignment horizontal="right" vertical="center" wrapText="1"/>
    </xf>
    <xf numFmtId="4" fontId="26" fillId="0" borderId="27" xfId="3" applyNumberFormat="1" applyFont="1" applyBorder="1" applyAlignment="1">
      <alignment horizontal="right" vertical="center" wrapText="1"/>
    </xf>
    <xf numFmtId="0" fontId="26" fillId="0" borderId="27" xfId="3" applyFont="1" applyBorder="1" applyAlignment="1">
      <alignment horizontal="left" vertical="center" wrapText="1" indent="2"/>
    </xf>
    <xf numFmtId="4" fontId="49" fillId="0" borderId="27" xfId="3" applyNumberFormat="1" applyFont="1" applyBorder="1" applyAlignment="1">
      <alignment horizontal="right" vertical="center" wrapText="1"/>
    </xf>
    <xf numFmtId="0" fontId="26" fillId="0" borderId="27" xfId="3" applyFont="1" applyBorder="1" applyAlignment="1">
      <alignment horizontal="left" vertical="center" wrapText="1" indent="4"/>
    </xf>
    <xf numFmtId="3" fontId="26" fillId="0" borderId="27" xfId="3" applyNumberFormat="1" applyFont="1" applyBorder="1" applyAlignment="1">
      <alignment horizontal="right" vertical="center" wrapText="1"/>
    </xf>
    <xf numFmtId="180" fontId="49" fillId="0" borderId="27" xfId="3" applyNumberFormat="1" applyFont="1" applyBorder="1" applyAlignment="1">
      <alignment horizontal="right" vertical="center" wrapText="1"/>
    </xf>
    <xf numFmtId="0" fontId="31" fillId="0" borderId="27" xfId="3" applyFont="1" applyBorder="1" applyAlignment="1">
      <alignment vertical="center" wrapText="1"/>
    </xf>
    <xf numFmtId="180" fontId="31" fillId="0" borderId="27" xfId="3" applyNumberFormat="1" applyFont="1" applyBorder="1" applyAlignment="1">
      <alignment horizontal="right" vertical="center" wrapText="1"/>
    </xf>
    <xf numFmtId="180" fontId="50" fillId="0" borderId="27" xfId="3" applyNumberFormat="1" applyFont="1" applyBorder="1" applyAlignment="1">
      <alignment horizontal="right" vertical="center" wrapText="1"/>
    </xf>
    <xf numFmtId="4" fontId="50" fillId="0" borderId="27" xfId="3" applyNumberFormat="1" applyFont="1" applyBorder="1" applyAlignment="1">
      <alignment horizontal="right" vertical="center" wrapText="1"/>
    </xf>
    <xf numFmtId="4" fontId="31" fillId="0" borderId="27" xfId="3" applyNumberFormat="1" applyFont="1" applyBorder="1" applyAlignment="1">
      <alignment horizontal="right" vertical="center" wrapText="1"/>
    </xf>
    <xf numFmtId="10" fontId="23" fillId="0" borderId="18" xfId="0" applyNumberFormat="1" applyFont="1" applyBorder="1"/>
    <xf numFmtId="0" fontId="26" fillId="0" borderId="27" xfId="3" applyFont="1" applyBorder="1" applyAlignment="1">
      <alignment horizontal="left" vertical="center" wrapText="1" indent="6"/>
    </xf>
    <xf numFmtId="0" fontId="26" fillId="0" borderId="27" xfId="3" applyFont="1" applyBorder="1" applyAlignment="1">
      <alignment horizontal="left" vertical="center" wrapText="1" indent="8"/>
    </xf>
    <xf numFmtId="181" fontId="26" fillId="0" borderId="27" xfId="3" applyNumberFormat="1" applyFont="1" applyBorder="1" applyAlignment="1">
      <alignment horizontal="right" vertical="center" wrapText="1"/>
    </xf>
    <xf numFmtId="170" fontId="34" fillId="0" borderId="13" xfId="0" applyNumberFormat="1" applyFont="1" applyBorder="1"/>
    <xf numFmtId="167" fontId="29" fillId="0" borderId="13" xfId="0" applyNumberFormat="1" applyFont="1" applyBorder="1"/>
    <xf numFmtId="0" fontId="27" fillId="0" borderId="13" xfId="0" applyFont="1" applyBorder="1"/>
    <xf numFmtId="167" fontId="30" fillId="0" borderId="13" xfId="0" applyNumberFormat="1" applyFont="1" applyBorder="1"/>
    <xf numFmtId="167" fontId="30" fillId="0" borderId="11" xfId="0" applyNumberFormat="1" applyFont="1" applyBorder="1"/>
    <xf numFmtId="10" fontId="32" fillId="0" borderId="13" xfId="0" applyNumberFormat="1" applyFont="1" applyBorder="1"/>
    <xf numFmtId="0" fontId="26" fillId="0" borderId="13" xfId="0" applyFont="1" applyBorder="1"/>
    <xf numFmtId="9" fontId="26" fillId="0" borderId="13" xfId="0" applyNumberFormat="1" applyFont="1" applyBorder="1"/>
    <xf numFmtId="44" fontId="31" fillId="0" borderId="13" xfId="0" applyNumberFormat="1" applyFont="1" applyBorder="1"/>
    <xf numFmtId="167" fontId="26" fillId="0" borderId="13" xfId="0" applyNumberFormat="1" applyFont="1" applyBorder="1"/>
    <xf numFmtId="170" fontId="31" fillId="0" borderId="13" xfId="0" applyNumberFormat="1" applyFont="1" applyBorder="1"/>
    <xf numFmtId="10" fontId="26" fillId="0" borderId="13" xfId="0" applyNumberFormat="1" applyFont="1" applyBorder="1"/>
    <xf numFmtId="0" fontId="37" fillId="7" borderId="13" xfId="0" applyFont="1" applyFill="1" applyBorder="1"/>
    <xf numFmtId="0" fontId="26" fillId="10" borderId="13" xfId="0" applyFont="1" applyFill="1" applyBorder="1"/>
    <xf numFmtId="168" fontId="27" fillId="0" borderId="13" xfId="0" applyNumberFormat="1" applyFont="1" applyBorder="1"/>
    <xf numFmtId="165" fontId="23" fillId="0" borderId="32" xfId="0" applyNumberFormat="1" applyFont="1" applyBorder="1" applyAlignment="1">
      <alignment horizontal="center"/>
    </xf>
    <xf numFmtId="0" fontId="26" fillId="0" borderId="33" xfId="0" applyFont="1" applyBorder="1"/>
    <xf numFmtId="0" fontId="26" fillId="4" borderId="31" xfId="0" applyFont="1" applyFill="1" applyBorder="1"/>
    <xf numFmtId="170" fontId="20" fillId="5" borderId="31" xfId="0" applyNumberFormat="1" applyFont="1" applyFill="1" applyBorder="1"/>
    <xf numFmtId="9" fontId="29" fillId="0" borderId="31" xfId="0" applyNumberFormat="1" applyFont="1" applyBorder="1"/>
    <xf numFmtId="170" fontId="31" fillId="0" borderId="33" xfId="0" applyNumberFormat="1" applyFont="1" applyBorder="1"/>
    <xf numFmtId="10" fontId="26" fillId="0" borderId="31" xfId="0" applyNumberFormat="1" applyFont="1" applyBorder="1"/>
    <xf numFmtId="170" fontId="26" fillId="0" borderId="31" xfId="0" applyNumberFormat="1" applyFont="1" applyBorder="1"/>
    <xf numFmtId="9" fontId="26" fillId="0" borderId="31" xfId="0" applyNumberFormat="1" applyFont="1" applyBorder="1"/>
    <xf numFmtId="0" fontId="26" fillId="0" borderId="31" xfId="0" applyFont="1" applyBorder="1"/>
    <xf numFmtId="165" fontId="23" fillId="4" borderId="31" xfId="0" applyNumberFormat="1" applyFont="1" applyFill="1" applyBorder="1" applyAlignment="1">
      <alignment horizontal="center"/>
    </xf>
    <xf numFmtId="170" fontId="33" fillId="0" borderId="31" xfId="0" applyNumberFormat="1" applyFont="1" applyBorder="1"/>
    <xf numFmtId="167" fontId="29" fillId="0" borderId="33" xfId="0" applyNumberFormat="1" applyFont="1" applyBorder="1"/>
    <xf numFmtId="167" fontId="29" fillId="0" borderId="31" xfId="0" applyNumberFormat="1" applyFont="1" applyBorder="1"/>
    <xf numFmtId="167" fontId="29" fillId="0" borderId="32" xfId="0" applyNumberFormat="1" applyFont="1" applyBorder="1"/>
    <xf numFmtId="167" fontId="35" fillId="0" borderId="31" xfId="0" applyNumberFormat="1" applyFont="1" applyBorder="1"/>
    <xf numFmtId="167" fontId="26" fillId="0" borderId="31" xfId="0" applyNumberFormat="1" applyFont="1" applyBorder="1"/>
    <xf numFmtId="0" fontId="37" fillId="2" borderId="31" xfId="0" applyFont="1" applyFill="1" applyBorder="1"/>
    <xf numFmtId="165" fontId="23" fillId="0" borderId="34" xfId="0" applyNumberFormat="1" applyFont="1" applyBorder="1" applyAlignment="1">
      <alignment horizontal="center"/>
    </xf>
    <xf numFmtId="0" fontId="27" fillId="0" borderId="31" xfId="0" applyFont="1" applyBorder="1"/>
    <xf numFmtId="167" fontId="29" fillId="0" borderId="34" xfId="0" applyNumberFormat="1" applyFont="1" applyBorder="1"/>
    <xf numFmtId="170" fontId="34" fillId="0" borderId="31" xfId="0" applyNumberFormat="1" applyFont="1" applyBorder="1"/>
    <xf numFmtId="0" fontId="37" fillId="7" borderId="31" xfId="0" applyFont="1" applyFill="1" applyBorder="1"/>
    <xf numFmtId="166" fontId="23" fillId="0" borderId="31" xfId="0" applyNumberFormat="1" applyFont="1" applyBorder="1" applyAlignment="1">
      <alignment horizontal="center"/>
    </xf>
    <xf numFmtId="0" fontId="26" fillId="10" borderId="31" xfId="0" applyFont="1" applyFill="1" applyBorder="1"/>
    <xf numFmtId="174" fontId="20" fillId="0" borderId="18" xfId="0" applyNumberFormat="1" applyFont="1" applyBorder="1"/>
    <xf numFmtId="174" fontId="20" fillId="0" borderId="0" xfId="0" applyNumberFormat="1" applyFont="1"/>
    <xf numFmtId="174" fontId="23" fillId="0" borderId="18" xfId="0" applyNumberFormat="1" applyFont="1" applyBorder="1"/>
    <xf numFmtId="174" fontId="20" fillId="0" borderId="13" xfId="0" applyNumberFormat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0" fontId="23" fillId="0" borderId="13" xfId="0" applyFont="1" applyBorder="1" applyAlignment="1">
      <alignment horizontal="right"/>
    </xf>
    <xf numFmtId="165" fontId="23" fillId="0" borderId="28" xfId="0" applyNumberFormat="1" applyFont="1" applyBorder="1" applyAlignment="1">
      <alignment horizontal="center"/>
    </xf>
    <xf numFmtId="171" fontId="23" fillId="5" borderId="13" xfId="0" applyNumberFormat="1" applyFont="1" applyFill="1" applyBorder="1" applyAlignment="1">
      <alignment horizontal="left"/>
    </xf>
    <xf numFmtId="170" fontId="46" fillId="5" borderId="13" xfId="0" applyNumberFormat="1" applyFont="1" applyFill="1" applyBorder="1"/>
    <xf numFmtId="170" fontId="46" fillId="5" borderId="17" xfId="0" applyNumberFormat="1" applyFont="1" applyFill="1" applyBorder="1"/>
    <xf numFmtId="170" fontId="46" fillId="5" borderId="0" xfId="0" applyNumberFormat="1" applyFont="1" applyFill="1"/>
    <xf numFmtId="9" fontId="21" fillId="0" borderId="0" xfId="0" applyNumberFormat="1" applyFont="1" applyAlignment="1">
      <alignment horizontal="right"/>
    </xf>
    <xf numFmtId="9" fontId="20" fillId="5" borderId="13" xfId="0" applyNumberFormat="1" applyFont="1" applyFill="1" applyBorder="1" applyAlignment="1">
      <alignment horizontal="left"/>
    </xf>
    <xf numFmtId="9" fontId="25" fillId="5" borderId="13" xfId="0" applyNumberFormat="1" applyFont="1" applyFill="1" applyBorder="1"/>
    <xf numFmtId="10" fontId="46" fillId="5" borderId="13" xfId="0" applyNumberFormat="1" applyFont="1" applyFill="1" applyBorder="1"/>
    <xf numFmtId="10" fontId="46" fillId="5" borderId="17" xfId="0" applyNumberFormat="1" applyFont="1" applyFill="1" applyBorder="1"/>
    <xf numFmtId="10" fontId="46" fillId="5" borderId="0" xfId="0" applyNumberFormat="1" applyFont="1" applyFill="1"/>
    <xf numFmtId="9" fontId="25" fillId="0" borderId="13" xfId="0" applyNumberFormat="1" applyFont="1" applyBorder="1"/>
    <xf numFmtId="9" fontId="20" fillId="0" borderId="13" xfId="0" applyNumberFormat="1" applyFont="1" applyBorder="1"/>
    <xf numFmtId="44" fontId="46" fillId="5" borderId="13" xfId="0" applyNumberFormat="1" applyFont="1" applyFill="1" applyBorder="1"/>
    <xf numFmtId="44" fontId="46" fillId="5" borderId="17" xfId="0" applyNumberFormat="1" applyFont="1" applyFill="1" applyBorder="1"/>
    <xf numFmtId="44" fontId="46" fillId="5" borderId="0" xfId="0" applyNumberFormat="1" applyFont="1" applyFill="1"/>
    <xf numFmtId="9" fontId="46" fillId="5" borderId="13" xfId="0" applyNumberFormat="1" applyFont="1" applyFill="1" applyBorder="1"/>
    <xf numFmtId="9" fontId="46" fillId="5" borderId="17" xfId="0" applyNumberFormat="1" applyFont="1" applyFill="1" applyBorder="1"/>
    <xf numFmtId="9" fontId="46" fillId="5" borderId="0" xfId="0" applyNumberFormat="1" applyFont="1" applyFill="1"/>
    <xf numFmtId="9" fontId="23" fillId="5" borderId="13" xfId="0" applyNumberFormat="1" applyFont="1" applyFill="1" applyBorder="1" applyAlignment="1">
      <alignment horizontal="left"/>
    </xf>
    <xf numFmtId="44" fontId="51" fillId="5" borderId="13" xfId="0" applyNumberFormat="1" applyFont="1" applyFill="1" applyBorder="1"/>
    <xf numFmtId="44" fontId="51" fillId="5" borderId="17" xfId="0" applyNumberFormat="1" applyFont="1" applyFill="1" applyBorder="1"/>
    <xf numFmtId="44" fontId="51" fillId="5" borderId="0" xfId="0" applyNumberFormat="1" applyFont="1" applyFill="1"/>
    <xf numFmtId="9" fontId="52" fillId="0" borderId="13" xfId="0" applyNumberFormat="1" applyFont="1" applyBorder="1"/>
    <xf numFmtId="171" fontId="23" fillId="5" borderId="0" xfId="0" applyNumberFormat="1" applyFont="1" applyFill="1" applyAlignment="1">
      <alignment horizontal="left"/>
    </xf>
    <xf numFmtId="170" fontId="25" fillId="5" borderId="0" xfId="0" applyNumberFormat="1" applyFont="1" applyFill="1"/>
    <xf numFmtId="170" fontId="51" fillId="5" borderId="0" xfId="0" applyNumberFormat="1" applyFont="1" applyFill="1"/>
    <xf numFmtId="170" fontId="51" fillId="5" borderId="17" xfId="0" applyNumberFormat="1" applyFont="1" applyFill="1" applyBorder="1"/>
    <xf numFmtId="170" fontId="51" fillId="5" borderId="13" xfId="0" applyNumberFormat="1" applyFont="1" applyFill="1" applyBorder="1"/>
    <xf numFmtId="171" fontId="23" fillId="5" borderId="8" xfId="0" applyNumberFormat="1" applyFont="1" applyFill="1" applyBorder="1" applyAlignment="1">
      <alignment horizontal="left"/>
    </xf>
    <xf numFmtId="170" fontId="23" fillId="4" borderId="8" xfId="0" applyNumberFormat="1" applyFont="1" applyFill="1" applyBorder="1"/>
    <xf numFmtId="170" fontId="51" fillId="4" borderId="8" xfId="0" applyNumberFormat="1" applyFont="1" applyFill="1" applyBorder="1"/>
    <xf numFmtId="170" fontId="51" fillId="4" borderId="29" xfId="0" applyNumberFormat="1" applyFont="1" applyFill="1" applyBorder="1"/>
    <xf numFmtId="174" fontId="23" fillId="0" borderId="13" xfId="0" applyNumberFormat="1" applyFont="1" applyBorder="1"/>
    <xf numFmtId="44" fontId="23" fillId="0" borderId="13" xfId="0" applyNumberFormat="1" applyFont="1" applyBorder="1"/>
    <xf numFmtId="9" fontId="21" fillId="0" borderId="13" xfId="0" applyNumberFormat="1" applyFont="1" applyBorder="1" applyAlignment="1">
      <alignment horizontal="right"/>
    </xf>
    <xf numFmtId="9" fontId="25" fillId="5" borderId="0" xfId="0" applyNumberFormat="1" applyFont="1" applyFill="1"/>
    <xf numFmtId="9" fontId="26" fillId="0" borderId="17" xfId="0" applyNumberFormat="1" applyFont="1" applyBorder="1"/>
    <xf numFmtId="170" fontId="20" fillId="5" borderId="8" xfId="0" applyNumberFormat="1" applyFont="1" applyFill="1" applyBorder="1"/>
    <xf numFmtId="170" fontId="20" fillId="5" borderId="29" xfId="0" applyNumberFormat="1" applyFont="1" applyFill="1" applyBorder="1"/>
    <xf numFmtId="170" fontId="20" fillId="0" borderId="13" xfId="0" applyNumberFormat="1" applyFont="1" applyBorder="1"/>
    <xf numFmtId="170" fontId="51" fillId="4" borderId="13" xfId="0" applyNumberFormat="1" applyFont="1" applyFill="1" applyBorder="1"/>
    <xf numFmtId="170" fontId="51" fillId="4" borderId="17" xfId="0" applyNumberFormat="1" applyFont="1" applyFill="1" applyBorder="1"/>
    <xf numFmtId="170" fontId="51" fillId="4" borderId="0" xfId="0" applyNumberFormat="1" applyFont="1" applyFill="1"/>
    <xf numFmtId="44" fontId="51" fillId="0" borderId="13" xfId="0" applyNumberFormat="1" applyFont="1" applyBorder="1"/>
    <xf numFmtId="170" fontId="20" fillId="4" borderId="13" xfId="0" applyNumberFormat="1" applyFont="1" applyFill="1" applyBorder="1"/>
    <xf numFmtId="170" fontId="20" fillId="0" borderId="17" xfId="0" applyNumberFormat="1" applyFont="1" applyBorder="1"/>
    <xf numFmtId="44" fontId="46" fillId="0" borderId="13" xfId="0" applyNumberFormat="1" applyFont="1" applyBorder="1"/>
    <xf numFmtId="170" fontId="23" fillId="18" borderId="13" xfId="0" applyNumberFormat="1" applyFont="1" applyFill="1" applyBorder="1"/>
    <xf numFmtId="44" fontId="51" fillId="18" borderId="13" xfId="0" applyNumberFormat="1" applyFont="1" applyFill="1" applyBorder="1"/>
    <xf numFmtId="170" fontId="23" fillId="18" borderId="17" xfId="0" applyNumberFormat="1" applyFont="1" applyFill="1" applyBorder="1"/>
    <xf numFmtId="170" fontId="20" fillId="4" borderId="0" xfId="0" applyNumberFormat="1" applyFont="1" applyFill="1"/>
    <xf numFmtId="0" fontId="23" fillId="2" borderId="0" xfId="0" applyFont="1" applyFill="1" applyAlignment="1">
      <alignment horizontal="right"/>
    </xf>
    <xf numFmtId="0" fontId="54" fillId="0" borderId="13" xfId="6" applyFont="1"/>
    <xf numFmtId="0" fontId="55" fillId="5" borderId="13" xfId="6" applyFont="1" applyFill="1"/>
    <xf numFmtId="0" fontId="56" fillId="0" borderId="13" xfId="6" applyFont="1"/>
    <xf numFmtId="0" fontId="57" fillId="0" borderId="13" xfId="6" applyFont="1"/>
    <xf numFmtId="0" fontId="56" fillId="0" borderId="14" xfId="6" applyFont="1" applyBorder="1"/>
    <xf numFmtId="0" fontId="56" fillId="0" borderId="18" xfId="6" applyFont="1" applyBorder="1"/>
    <xf numFmtId="0" fontId="54" fillId="0" borderId="18" xfId="6" applyFont="1" applyBorder="1"/>
    <xf numFmtId="0" fontId="54" fillId="0" borderId="35" xfId="6" applyFont="1" applyBorder="1"/>
    <xf numFmtId="0" fontId="58" fillId="0" borderId="15" xfId="6" applyFont="1" applyBorder="1"/>
    <xf numFmtId="0" fontId="54" fillId="0" borderId="17" xfId="6" applyFont="1" applyBorder="1"/>
    <xf numFmtId="0" fontId="58" fillId="25" borderId="15" xfId="6" applyFont="1" applyFill="1" applyBorder="1"/>
    <xf numFmtId="0" fontId="58" fillId="25" borderId="13" xfId="6" applyFont="1" applyFill="1"/>
    <xf numFmtId="0" fontId="56" fillId="25" borderId="13" xfId="6" applyFont="1" applyFill="1"/>
    <xf numFmtId="0" fontId="56" fillId="26" borderId="13" xfId="6" applyFont="1" applyFill="1"/>
    <xf numFmtId="0" fontId="54" fillId="26" borderId="13" xfId="6" applyFont="1" applyFill="1"/>
    <xf numFmtId="0" fontId="54" fillId="26" borderId="17" xfId="6" applyFont="1" applyFill="1" applyBorder="1"/>
    <xf numFmtId="0" fontId="59" fillId="25" borderId="15" xfId="6" applyFont="1" applyFill="1" applyBorder="1"/>
    <xf numFmtId="0" fontId="60" fillId="0" borderId="16" xfId="6" applyFont="1" applyBorder="1"/>
    <xf numFmtId="0" fontId="56" fillId="0" borderId="19" xfId="6" applyFont="1" applyBorder="1"/>
    <xf numFmtId="0" fontId="54" fillId="0" borderId="19" xfId="6" applyFont="1" applyBorder="1"/>
    <xf numFmtId="0" fontId="54" fillId="0" borderId="30" xfId="6" applyFont="1" applyBorder="1"/>
    <xf numFmtId="0" fontId="60" fillId="0" borderId="13" xfId="6" applyFont="1"/>
    <xf numFmtId="0" fontId="61" fillId="0" borderId="13" xfId="6" applyFont="1"/>
    <xf numFmtId="7" fontId="63" fillId="0" borderId="13" xfId="6" applyNumberFormat="1" applyFont="1" applyAlignment="1">
      <alignment horizontal="right"/>
    </xf>
    <xf numFmtId="9" fontId="54" fillId="0" borderId="13" xfId="7" applyFont="1" applyBorder="1" applyAlignment="1">
      <alignment horizontal="right"/>
    </xf>
    <xf numFmtId="0" fontId="62" fillId="27" borderId="13" xfId="6" applyFont="1" applyFill="1"/>
    <xf numFmtId="9" fontId="62" fillId="27" borderId="13" xfId="6" applyNumberFormat="1" applyFont="1" applyFill="1"/>
    <xf numFmtId="167" fontId="54" fillId="0" borderId="13" xfId="7" applyNumberFormat="1" applyFont="1" applyBorder="1" applyAlignment="1">
      <alignment horizontal="right"/>
    </xf>
    <xf numFmtId="0" fontId="42" fillId="20" borderId="13" xfId="4" applyFont="1" applyFill="1" applyAlignment="1">
      <alignment horizontal="left"/>
    </xf>
    <xf numFmtId="0" fontId="44" fillId="20" borderId="13" xfId="4" applyFont="1" applyFill="1" applyAlignment="1">
      <alignment horizontal="center"/>
    </xf>
    <xf numFmtId="0" fontId="44" fillId="20" borderId="19" xfId="4" applyFont="1" applyFill="1" applyBorder="1" applyAlignment="1">
      <alignment horizontal="center"/>
    </xf>
    <xf numFmtId="0" fontId="39" fillId="19" borderId="13" xfId="4" applyFont="1" applyFill="1" applyAlignment="1">
      <alignment horizontal="center"/>
    </xf>
    <xf numFmtId="0" fontId="41" fillId="0" borderId="13" xfId="4" applyFont="1" applyAlignment="1">
      <alignment horizontal="left"/>
    </xf>
    <xf numFmtId="0" fontId="40" fillId="0" borderId="13" xfId="4" applyFont="1" applyAlignment="1">
      <alignment horizontal="left"/>
    </xf>
    <xf numFmtId="0" fontId="43" fillId="20" borderId="13" xfId="4" applyFont="1" applyFill="1" applyAlignment="1">
      <alignment horizontal="left"/>
    </xf>
    <xf numFmtId="177" fontId="38" fillId="15" borderId="24" xfId="2" applyNumberFormat="1" applyFont="1" applyFill="1" applyBorder="1"/>
    <xf numFmtId="177" fontId="38" fillId="0" borderId="0" xfId="2" applyNumberFormat="1" applyFont="1" applyBorder="1" applyAlignment="1">
      <alignment wrapText="1"/>
    </xf>
    <xf numFmtId="177" fontId="27" fillId="0" borderId="0" xfId="2" applyNumberFormat="1" applyFont="1" applyBorder="1" applyAlignment="1">
      <alignment wrapText="1"/>
    </xf>
    <xf numFmtId="177" fontId="38" fillId="11" borderId="24" xfId="2" applyNumberFormat="1" applyFont="1" applyFill="1" applyBorder="1" applyAlignment="1">
      <alignment wrapText="1"/>
    </xf>
    <xf numFmtId="177" fontId="38" fillId="11" borderId="24" xfId="2" applyNumberFormat="1" applyFont="1" applyFill="1" applyBorder="1" applyAlignment="1">
      <alignment horizontal="left"/>
    </xf>
    <xf numFmtId="177" fontId="38" fillId="11" borderId="24" xfId="2" applyNumberFormat="1" applyFont="1" applyFill="1" applyBorder="1" applyAlignment="1">
      <alignment horizontal="right"/>
    </xf>
    <xf numFmtId="177" fontId="38" fillId="13" borderId="24" xfId="2" applyNumberFormat="1" applyFont="1" applyFill="1" applyBorder="1" applyAlignment="1">
      <alignment horizontal="right"/>
    </xf>
    <xf numFmtId="0" fontId="26" fillId="0" borderId="27" xfId="3" applyFont="1" applyBorder="1" applyAlignment="1">
      <alignment horizontal="center" vertical="center" wrapText="1"/>
    </xf>
    <xf numFmtId="179" fontId="26" fillId="0" borderId="27" xfId="3" applyNumberFormat="1" applyFont="1" applyBorder="1" applyAlignment="1">
      <alignment horizontal="center" vertical="center" wrapText="1"/>
    </xf>
    <xf numFmtId="0" fontId="37" fillId="16" borderId="26" xfId="3" applyFont="1" applyFill="1" applyBorder="1" applyAlignment="1">
      <alignment horizontal="center" vertical="center" wrapText="1"/>
    </xf>
  </cellXfs>
  <cellStyles count="9">
    <cellStyle name="Currency 2" xfId="5" xr:uid="{7EE0F38D-6899-3348-AA95-7CBB0D358C3F}"/>
    <cellStyle name="Hyperlink 2" xfId="8" xr:uid="{68FF32AF-DC5D-4943-9645-A549B4106985}"/>
    <cellStyle name="Normal" xfId="0" builtinId="0"/>
    <cellStyle name="Normal 2" xfId="2" xr:uid="{C07FBBF3-CF68-4619-94D7-BAD98FCB43D3}"/>
    <cellStyle name="Normal 3" xfId="3" xr:uid="{B08538CB-6AA0-4118-BCD7-97190141D4ED}"/>
    <cellStyle name="Normal 4" xfId="4" xr:uid="{718B4AD6-1D8C-0A44-8D19-63F9F334B9B4}"/>
    <cellStyle name="Normal 5" xfId="6" xr:uid="{01448B60-A581-451E-A9C6-664B4BFEE9F4}"/>
    <cellStyle name="Percent" xfId="1" builtinId="5"/>
    <cellStyle name="Percent 2" xfId="7" xr:uid="{75D9CC2D-95E8-42FE-B136-8268F6F0CCE4}"/>
  </cellStyles>
  <dxfs count="0"/>
  <tableStyles count="0" defaultTableStyle="TableStyleMedium2" defaultPivotStyle="PivotStyleLight16"/>
  <colors>
    <mruColors>
      <color rgb="FF000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34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SaaS and license COGS, $mm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'Costs &amp; Expenses Build'!$C$7:$J$7</c:f>
              <c:numCache>
                <c:formatCode>#\A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 formatCode="#\E">
                  <c:v>2025</c:v>
                </c:pt>
                <c:pt idx="4" formatCode="#\E">
                  <c:v>2026</c:v>
                </c:pt>
                <c:pt idx="5" formatCode="#\E">
                  <c:v>2027</c:v>
                </c:pt>
                <c:pt idx="6" formatCode="#\E">
                  <c:v>2028</c:v>
                </c:pt>
                <c:pt idx="7" formatCode="#\E">
                  <c:v>2029</c:v>
                </c:pt>
              </c:numCache>
            </c:numRef>
          </c:xVal>
          <c:yVal>
            <c:numRef>
              <c:f>'Income Build'!#REF!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0C-41A6-85A6-12D9A54B9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7530554"/>
        <c:axId val="1329004545"/>
      </c:scatterChart>
      <c:valAx>
        <c:axId val="164753055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29004545"/>
        <c:crosses val="autoZero"/>
        <c:crossBetween val="midCat"/>
      </c:valAx>
      <c:valAx>
        <c:axId val="13290045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647530554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Property and equipment, net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BS!$C$18:$AD$18</c:f>
              <c:numCache>
                <c:formatCode>_("$"* #,##0.0_);_("$"* \(#,##0.0\);_("$"* "-"_);_(@_)</c:formatCode>
                <c:ptCount val="23"/>
                <c:pt idx="0">
                  <c:v>178.96299999999999</c:v>
                </c:pt>
                <c:pt idx="1">
                  <c:v>271.529</c:v>
                </c:pt>
                <c:pt idx="2">
                  <c:v>333.55599999999998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40-4BA6-83A6-85754679A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800848"/>
        <c:axId val="831493905"/>
      </c:scatterChart>
      <c:valAx>
        <c:axId val="92980084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831493905"/>
        <c:crosses val="autoZero"/>
        <c:crossBetween val="midCat"/>
      </c:valAx>
      <c:valAx>
        <c:axId val="8314939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929800848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Intangible assets, net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BS!$C$19:$AD$19</c:f>
              <c:numCache>
                <c:formatCode>_("$"* #,##0.0_);_("$"* \(#,##0.0\);_("$"* "-"_);_(@_)</c:formatCode>
                <c:ptCount val="23"/>
                <c:pt idx="1">
                  <c:v>0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82-4682-B6EE-6B79FBE8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108528"/>
        <c:axId val="988390919"/>
      </c:scatterChart>
      <c:valAx>
        <c:axId val="18010852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988390919"/>
        <c:crosses val="autoZero"/>
        <c:crossBetween val="midCat"/>
      </c:valAx>
      <c:valAx>
        <c:axId val="9883909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80108528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Operating lease right-of-use assets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BS!$C$22:$AD$22</c:f>
              <c:numCache>
                <c:formatCode>_("$"* #,##0.0_);_("$"* \(#,##0.0\);_("$"* "-"_);_(@_)</c:formatCode>
                <c:ptCount val="23"/>
                <c:pt idx="1">
                  <c:v>0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5E-431E-A8EA-A579C960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7727114"/>
        <c:axId val="1511108857"/>
      </c:scatterChart>
      <c:valAx>
        <c:axId val="104772711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511108857"/>
        <c:crosses val="autoZero"/>
        <c:crossBetween val="midCat"/>
      </c:valAx>
      <c:valAx>
        <c:axId val="15111088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047727114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Other assets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BS!$C$23:$AD$23</c:f>
              <c:numCache>
                <c:formatCode>_("$"* #,##0.0_);_("$"* \(#,##0.0\);_("$"* "-"_);_(@_)</c:formatCode>
                <c:ptCount val="23"/>
                <c:pt idx="0">
                  <c:v>55.463000000000001</c:v>
                </c:pt>
                <c:pt idx="1">
                  <c:v>77.534000000000006</c:v>
                </c:pt>
                <c:pt idx="2">
                  <c:v>66.042000000000002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4-408D-9B6F-374A9EC0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081002"/>
        <c:axId val="676330070"/>
      </c:scatterChart>
      <c:valAx>
        <c:axId val="134408100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676330070"/>
        <c:crosses val="autoZero"/>
        <c:crossBetween val="midCat"/>
      </c:valAx>
      <c:valAx>
        <c:axId val="6763300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44081002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Accounts payable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BS!$C$28:$AD$28</c:f>
              <c:numCache>
                <c:formatCode>_("$"* #,##0.0_);_("$"* \(#,##0.0\);_("$"* "-"_);_(@_)</c:formatCode>
                <c:ptCount val="23"/>
                <c:pt idx="0">
                  <c:v>5.45</c:v>
                </c:pt>
                <c:pt idx="1">
                  <c:v>0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86-4707-97FB-B8E067C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470512"/>
        <c:axId val="1369490638"/>
      </c:scatterChart>
      <c:valAx>
        <c:axId val="174147051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69490638"/>
        <c:crosses val="autoZero"/>
        <c:crossBetween val="midCat"/>
      </c:valAx>
      <c:valAx>
        <c:axId val="13694906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741470512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Accrued expenses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BS!$C$29:$AD$29</c:f>
              <c:numCache>
                <c:formatCode>_("$"* #,##0.0_);_("$"* \(#,##0.0\);_("$"* "-"_);_(@_)</c:formatCode>
                <c:ptCount val="23"/>
                <c:pt idx="0">
                  <c:v>19.86</c:v>
                </c:pt>
                <c:pt idx="1">
                  <c:v>19.86</c:v>
                </c:pt>
                <c:pt idx="2">
                  <c:v>19.86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11-479B-BA98-AB9D3E5E0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298227"/>
        <c:axId val="1274252605"/>
      </c:scatterChart>
      <c:valAx>
        <c:axId val="8322982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274252605"/>
        <c:crosses val="autoZero"/>
        <c:crossBetween val="midCat"/>
      </c:valAx>
      <c:valAx>
        <c:axId val="12742526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832298227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Deferred revenue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BS!$C$31:$AD$31</c:f>
              <c:numCache>
                <c:formatCode>_("$"* #,##0.0_);_("$"* \(#,##0.0\);_("$"* "-"_);_(@_)</c:formatCode>
                <c:ptCount val="23"/>
                <c:pt idx="0">
                  <c:v>389.12900000000002</c:v>
                </c:pt>
                <c:pt idx="1">
                  <c:v>487.48500000000001</c:v>
                </c:pt>
                <c:pt idx="2">
                  <c:v>531.57899999999995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15-408C-946E-077DDC10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779740"/>
        <c:axId val="608479903"/>
      </c:scatterChart>
      <c:valAx>
        <c:axId val="15437797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608479903"/>
        <c:crosses val="autoZero"/>
        <c:crossBetween val="midCat"/>
      </c:valAx>
      <c:valAx>
        <c:axId val="6084799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543779740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 Operating lease liabilities (current)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 Operating lease liabilities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BS!$C$32:$AD$32</c:f>
              <c:numCache>
                <c:formatCode>_("$"* #,##0.0_);_("$"* \(#,##0.0\);_("$"* "-"_);_(@_)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EB-48CA-804E-4CCB6E45E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089606"/>
        <c:axId val="75046256"/>
      </c:scatterChart>
      <c:valAx>
        <c:axId val="32308960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75046256"/>
        <c:crosses val="autoZero"/>
        <c:crossBetween val="midCat"/>
      </c:valAx>
      <c:valAx>
        <c:axId val="750462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323089606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Income tax payable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BS!$C$33:$AD$33</c:f>
              <c:numCache>
                <c:formatCode>_("$"* #,##0.0_);_("$"* \(#,##0.0\);_("$"* "-"_);_(@_)</c:formatCode>
                <c:ptCount val="23"/>
                <c:pt idx="0">
                  <c:v>16.364000000000001</c:v>
                </c:pt>
                <c:pt idx="1">
                  <c:v>19.966999999999999</c:v>
                </c:pt>
                <c:pt idx="2">
                  <c:v>21.131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1B-4873-8361-7831EE488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406429"/>
        <c:axId val="225571354"/>
      </c:scatterChart>
      <c:valAx>
        <c:axId val="146340642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25571354"/>
        <c:crosses val="autoZero"/>
        <c:crossBetween val="midCat"/>
      </c:valAx>
      <c:valAx>
        <c:axId val="2255713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463406429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Other current liabilities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BS!$C$34:$AD$34</c:f>
              <c:numCache>
                <c:formatCode>_("$"* #,##0.0_);_("$"* \(#,##0.0\);_("$"* "-"_);_(@_)</c:formatCode>
                <c:ptCount val="23"/>
                <c:pt idx="0">
                  <c:v>8.5760000000000005</c:v>
                </c:pt>
                <c:pt idx="1">
                  <c:v>8.4239999999999995</c:v>
                </c:pt>
                <c:pt idx="2">
                  <c:v>8.843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D9-4B4A-B620-ED4B28AA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982140"/>
        <c:axId val="143719731"/>
      </c:scatterChart>
      <c:valAx>
        <c:axId val="1009821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43719731"/>
        <c:crosses val="autoZero"/>
        <c:crossBetween val="midCat"/>
      </c:valAx>
      <c:valAx>
        <c:axId val="1437197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00982140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Sales and Marketing Expense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Sales and Marketing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'Costs &amp; Expenses Build'!$C$7:$J$7</c:f>
              <c:numCache>
                <c:formatCode>#\A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 formatCode="#\E">
                  <c:v>2025</c:v>
                </c:pt>
                <c:pt idx="4" formatCode="#\E">
                  <c:v>2026</c:v>
                </c:pt>
                <c:pt idx="5" formatCode="#\E">
                  <c:v>2027</c:v>
                </c:pt>
                <c:pt idx="6" formatCode="#\E">
                  <c:v>2028</c:v>
                </c:pt>
                <c:pt idx="7" formatCode="#\E">
                  <c:v>2029</c:v>
                </c:pt>
              </c:numCache>
            </c:numRef>
          </c:xVal>
          <c:yVal>
            <c:numRef>
              <c:f>'Costs &amp; Expenses Build'!$C$31:$J$31</c:f>
              <c:numCache>
                <c:formatCode>_("$"* #,##0.0_);_("$"* \(#,##0.0\);_("$"* "-"_);_(@_)</c:formatCode>
                <c:ptCount val="8"/>
                <c:pt idx="0">
                  <c:v>76.061000000000007</c:v>
                </c:pt>
                <c:pt idx="1">
                  <c:v>95.772999999999996</c:v>
                </c:pt>
                <c:pt idx="2">
                  <c:v>111.265</c:v>
                </c:pt>
                <c:pt idx="3">
                  <c:v>144.14805568396895</c:v>
                </c:pt>
                <c:pt idx="4">
                  <c:v>165.02862922274136</c:v>
                </c:pt>
                <c:pt idx="5">
                  <c:v>189.75449290016323</c:v>
                </c:pt>
                <c:pt idx="6">
                  <c:v>227.90381362231889</c:v>
                </c:pt>
                <c:pt idx="7">
                  <c:v>269.64942547202344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71-445D-BFAB-535246F86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810237"/>
        <c:axId val="1269967105"/>
      </c:scatterChart>
      <c:valAx>
        <c:axId val="71281023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269967105"/>
        <c:crosses val="autoZero"/>
        <c:crossBetween val="midCat"/>
      </c:valAx>
      <c:valAx>
        <c:axId val="12699671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712810237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 Operating lease liabilities (non-current)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 Operating lease liabilities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BS!$C$41:$AD$41</c:f>
              <c:numCache>
                <c:formatCode>_("$"* #,##0.0_);_("$"* \(#,##0.0\);_("$"* "-"_);_(@_)</c:formatCode>
                <c:ptCount val="23"/>
                <c:pt idx="0">
                  <c:v>1.145</c:v>
                </c:pt>
                <c:pt idx="1">
                  <c:v>2.0529999999999999</c:v>
                </c:pt>
                <c:pt idx="2">
                  <c:v>0.152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94-4307-B0DA-7BADD077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6381074"/>
        <c:axId val="785765569"/>
      </c:scatterChart>
      <c:valAx>
        <c:axId val="152638107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785765569"/>
        <c:crosses val="autoZero"/>
        <c:crossBetween val="midCat"/>
      </c:valAx>
      <c:valAx>
        <c:axId val="7857655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526381074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Other liabilities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BS!$C$42:$AD$42</c:f>
              <c:numCache>
                <c:formatCode>_("$"* #,##0.0_);_("$"* \(#,##0.0\);_("$"* "-"_);_(@_)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28.283000000000001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E7-469D-9709-CF91214E3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940516"/>
        <c:axId val="629159612"/>
      </c:scatterChart>
      <c:valAx>
        <c:axId val="8559405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629159612"/>
        <c:crosses val="autoZero"/>
        <c:crossBetween val="midCat"/>
      </c:valAx>
      <c:valAx>
        <c:axId val="6291596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855940516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Net Working Capital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BS!$C$47:$AD$47</c:f>
              <c:numCache>
                <c:formatCode>_("$"* #,##0.0_);_("$"* \(#,##0.0\);_("$"* "-"_);_(@_)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B2-4022-9ABD-4BDC0248F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560742"/>
        <c:axId val="1450601601"/>
      </c:scatterChart>
      <c:valAx>
        <c:axId val="113556074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450601601"/>
        <c:crosses val="autoZero"/>
        <c:crossBetween val="midCat"/>
      </c:valAx>
      <c:valAx>
        <c:axId val="14506016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135560742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Accumulated deficit / Retained earnings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BS!$C$53:$AD$53</c:f>
              <c:numCache>
                <c:formatCode>_("$"* #,##0.0_);_("$"* \(#,##0.0\);_("$"* "-"_);_(@_)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9D-4C99-A028-6F33F560A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929838"/>
        <c:axId val="2132732801"/>
      </c:scatterChart>
      <c:valAx>
        <c:axId val="11629298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132732801"/>
        <c:crosses val="autoZero"/>
        <c:crossBetween val="midCat"/>
      </c:valAx>
      <c:valAx>
        <c:axId val="21327328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162929838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Current Assets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BS!$C$15:$AD$15</c:f>
              <c:numCache>
                <c:formatCode>_("$"* #,##0.0_);_("$"* \(#,##0.0\);_("$"* "-"_);_(@_)</c:formatCode>
                <c:ptCount val="23"/>
                <c:pt idx="0">
                  <c:v>6.2050000000000001</c:v>
                </c:pt>
                <c:pt idx="1">
                  <c:v>14.287000000000001</c:v>
                </c:pt>
                <c:pt idx="2">
                  <c:v>27.585000000000001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2B-4A33-BB2D-AC7D76103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660566"/>
        <c:axId val="1201724451"/>
      </c:scatterChart>
      <c:valAx>
        <c:axId val="187166056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201724451"/>
        <c:crosses val="autoZero"/>
        <c:crossBetween val="midCat"/>
      </c:valAx>
      <c:valAx>
        <c:axId val="12017244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871660566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Non-Current Assets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BS!$C$24:$AD$24</c:f>
              <c:numCache>
                <c:formatCode>_("$"* #,##0.0_);_("$"* \(#,##0.0\);_("$"* "-"_);_(@_)</c:formatCode>
                <c:ptCount val="23"/>
                <c:pt idx="1">
                  <c:v>0</c:v>
                </c:pt>
                <c:pt idx="2">
                  <c:v>31.623999999999999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9B-4E76-89EE-965517D35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712938"/>
        <c:axId val="1802218218"/>
      </c:scatterChart>
      <c:valAx>
        <c:axId val="3027129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802218218"/>
        <c:crosses val="autoZero"/>
        <c:crossBetween val="midCat"/>
      </c:valAx>
      <c:valAx>
        <c:axId val="18022182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302712938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Assets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BS!$C$25:$AD$25</c:f>
              <c:numCache>
                <c:formatCode>_("$"* #,##0.0_);_("$"* \(#,##0.0\);_("$"* "-"_);_(@_)</c:formatCode>
                <c:ptCount val="23"/>
                <c:pt idx="0">
                  <c:v>5.7080000000000002</c:v>
                </c:pt>
                <c:pt idx="1">
                  <c:v>10.013</c:v>
                </c:pt>
                <c:pt idx="2">
                  <c:v>11.287000000000001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20-4047-96F0-FD481D26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067138"/>
        <c:axId val="1732511704"/>
      </c:scatterChart>
      <c:valAx>
        <c:axId val="13830671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732511704"/>
        <c:crosses val="autoZero"/>
        <c:crossBetween val="midCat"/>
      </c:valAx>
      <c:valAx>
        <c:axId val="17325117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83067138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Current Liabilities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BS!$C$35:$AD$35</c:f>
              <c:numCache>
                <c:formatCode>_("$"* #,##0.0_);_("$"* \(#,##0.0\);_("$"* "-"_);_(@_)</c:formatCode>
                <c:ptCount val="23"/>
                <c:pt idx="0">
                  <c:v>1.3240000000000001</c:v>
                </c:pt>
                <c:pt idx="1">
                  <c:v>3.4430000000000001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6E-4F01-90C7-98A373736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618590"/>
        <c:axId val="1139345398"/>
      </c:scatterChart>
      <c:valAx>
        <c:axId val="134861859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139345398"/>
        <c:crosses val="autoZero"/>
        <c:crossBetween val="midCat"/>
      </c:valAx>
      <c:valAx>
        <c:axId val="11393453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48618590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Non-Current liabilities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BS!$C$44:$AD$44</c:f>
              <c:numCache>
                <c:formatCode>_("$"* #,##0.0_);_("$"* \(#,##0.0\);_("$"* "-"_);_(@_)</c:formatCode>
                <c:ptCount val="23"/>
                <c:pt idx="0">
                  <c:v>0</c:v>
                </c:pt>
                <c:pt idx="1">
                  <c:v>1.113</c:v>
                </c:pt>
                <c:pt idx="2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96-4632-BEC0-54326A759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627727"/>
        <c:axId val="155591249"/>
      </c:scatterChart>
      <c:valAx>
        <c:axId val="11096277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55591249"/>
        <c:crosses val="autoZero"/>
        <c:crossBetween val="midCat"/>
      </c:valAx>
      <c:valAx>
        <c:axId val="1555912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109627727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Liabilities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BS!$C$45:$AD$45</c:f>
              <c:numCache>
                <c:formatCode>_("$"* #,##0.0_);_("$"* \(#,##0.0\);_("$"* "-"_);_(@_)</c:formatCode>
                <c:ptCount val="23"/>
                <c:pt idx="0">
                  <c:v>1.1859999999999999</c:v>
                </c:pt>
                <c:pt idx="1">
                  <c:v>4.1310000000000002</c:v>
                </c:pt>
                <c:pt idx="2">
                  <c:v>4.6559999999999997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EB-4B0B-BF80-77B0A1CE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150403"/>
        <c:axId val="1304992286"/>
      </c:scatterChart>
      <c:valAx>
        <c:axId val="141215040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04992286"/>
        <c:crosses val="autoZero"/>
        <c:crossBetween val="midCat"/>
      </c:valAx>
      <c:valAx>
        <c:axId val="13049922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412150403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SaaS Margin (%)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% Revenue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'Costs &amp; Expenses Build'!$C$7:$J$7</c:f>
              <c:numCache>
                <c:formatCode>#\A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 formatCode="#\E">
                  <c:v>2025</c:v>
                </c:pt>
                <c:pt idx="4" formatCode="#\E">
                  <c:v>2026</c:v>
                </c:pt>
                <c:pt idx="5" formatCode="#\E">
                  <c:v>2027</c:v>
                </c:pt>
                <c:pt idx="6" formatCode="#\E">
                  <c:v>2028</c:v>
                </c:pt>
                <c:pt idx="7" formatCode="#\E">
                  <c:v>2029</c:v>
                </c:pt>
              </c:numCache>
            </c:numRef>
          </c:xVal>
          <c:yVal>
            <c:numRef>
              <c:f>'Income Build'!#REF!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9C-48DE-8A93-11298D179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9345715"/>
        <c:axId val="2134094375"/>
      </c:scatterChart>
      <c:valAx>
        <c:axId val="153934571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134094375"/>
        <c:crosses val="autoZero"/>
        <c:crossBetween val="midCat"/>
      </c:valAx>
      <c:valAx>
        <c:axId val="21340943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539345715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SE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BS!$C$54:$AD$54</c:f>
              <c:numCache>
                <c:formatCode>_("$"* #,##0.0_);_("$"* \(#,##0.0\);_("$"* "-"_);_(@_)</c:formatCode>
                <c:ptCount val="23"/>
                <c:pt idx="0">
                  <c:v>389.12900000000002</c:v>
                </c:pt>
                <c:pt idx="1">
                  <c:v>487.48500000000001</c:v>
                </c:pt>
                <c:pt idx="2">
                  <c:v>531.57899999999995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51-4F92-BC34-FA7DEA9E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11119"/>
        <c:axId val="1505677780"/>
      </c:scatterChart>
      <c:valAx>
        <c:axId val="2211111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505677780"/>
        <c:crosses val="autoZero"/>
        <c:crossBetween val="midCat"/>
      </c:valAx>
      <c:valAx>
        <c:axId val="15056777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2111119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Total Liabilities &amp; SE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DA-42ED-B4EA-49718FED6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563902"/>
        <c:axId val="1349616396"/>
      </c:scatterChart>
      <c:valAx>
        <c:axId val="50756390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49616396"/>
        <c:crosses val="autoZero"/>
        <c:crossBetween val="midCat"/>
      </c:valAx>
      <c:valAx>
        <c:axId val="13496163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507563902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Accrued compensation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BS!$C$30:$AD$30</c:f>
              <c:numCache>
                <c:formatCode>_("$"* #,##0.0_);_("$"* \(#,##0.0\);_("$"* "-"_);_(@_)</c:formatCode>
                <c:ptCount val="23"/>
                <c:pt idx="0">
                  <c:v>28.364000000000001</c:v>
                </c:pt>
                <c:pt idx="1">
                  <c:v>26.238</c:v>
                </c:pt>
                <c:pt idx="2">
                  <c:v>24.111999999999998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B4-4EA8-8448-5A9C2FBC4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071846"/>
        <c:axId val="1856640164"/>
      </c:scatterChart>
      <c:valAx>
        <c:axId val="18020718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856640164"/>
        <c:crosses val="autoZero"/>
        <c:crossBetween val="midCat"/>
      </c:valAx>
      <c:valAx>
        <c:axId val="18566401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802071846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Other current liabilities (% Revenue)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BS!$C$59:$AD$59</c:f>
              <c:numCache>
                <c:formatCode>0.00%</c:formatCode>
                <c:ptCount val="23"/>
                <c:pt idx="0">
                  <c:v>4.104566905014885E-2</c:v>
                </c:pt>
                <c:pt idx="1">
                  <c:v>2.4744666414050175E-2</c:v>
                </c:pt>
                <c:pt idx="2">
                  <c:v>2.1645159395316051E-2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4D-4575-B9B9-3326679ED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075763"/>
        <c:axId val="2011749993"/>
      </c:scatterChart>
      <c:valAx>
        <c:axId val="69807576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011749993"/>
        <c:crosses val="autoZero"/>
        <c:crossBetween val="midCat"/>
      </c:valAx>
      <c:valAx>
        <c:axId val="20117499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698075763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Deferred tax assets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BS!$C$21:$AD$21</c:f>
              <c:numCache>
                <c:formatCode>_("$"* #,##0.0_);_("$"* \(#,##0.0\);_("$"* "-"_);_(@_)</c:formatCode>
                <c:ptCount val="23"/>
                <c:pt idx="0">
                  <c:v>7.8390000000000004</c:v>
                </c:pt>
                <c:pt idx="1">
                  <c:v>7.35</c:v>
                </c:pt>
                <c:pt idx="2">
                  <c:v>12.638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68-45E7-98B4-35B1DFBC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229027"/>
        <c:axId val="805900331"/>
      </c:scatterChart>
      <c:valAx>
        <c:axId val="11532290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805900331"/>
        <c:crosses val="autoZero"/>
        <c:crossBetween val="midCat"/>
      </c:valAx>
      <c:valAx>
        <c:axId val="8059003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153229027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R&amp;D Expense (%, of revenue)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IS!$C$43:$P$43</c:f>
              <c:numCache>
                <c:formatCode>#\A</c:formatCode>
                <c:ptCount val="9"/>
              </c:numCache>
            </c:numRef>
          </c:xVal>
          <c:yVal>
            <c:numRef>
              <c:f>IS!$C$50:$P$50</c:f>
              <c:numCache>
                <c:formatCode>0.00%</c:formatCode>
                <c:ptCount val="9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5B-4944-8ADC-9BC1E16E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2646525"/>
        <c:axId val="1656903925"/>
      </c:scatterChart>
      <c:valAx>
        <c:axId val="190264652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656903925"/>
        <c:crosses val="autoZero"/>
        <c:crossBetween val="midCat"/>
      </c:valAx>
      <c:valAx>
        <c:axId val="16569039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902646525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ROE/ROA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IS!$C$43:$P$43</c:f>
              <c:numCache>
                <c:formatCode>#\A</c:formatCode>
                <c:ptCount val="9"/>
              </c:numCache>
            </c:numRef>
          </c:xVal>
          <c:yVal>
            <c:numRef>
              <c:f>IS!$C$57:$P$57</c:f>
              <c:numCache>
                <c:formatCode>0.00</c:formatCode>
                <c:ptCount val="9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C0-4DB5-8750-60F44C6DC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495384"/>
        <c:axId val="288278986"/>
      </c:scatterChart>
      <c:valAx>
        <c:axId val="63349538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88278986"/>
        <c:crosses val="autoZero"/>
        <c:crossBetween val="midCat"/>
      </c:valAx>
      <c:valAx>
        <c:axId val="288278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633495384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Cash and cash equivalents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BS!$C$10:$AD$10</c:f>
              <c:numCache>
                <c:formatCode>_("$"* #,##0.0_);_("$"* \(#,##0.0\);_("$"* "-"_);_(@_)</c:formatCode>
                <c:ptCount val="23"/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8C-477C-B6D3-DF9CF372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946719"/>
        <c:axId val="119303794"/>
      </c:scatterChart>
      <c:valAx>
        <c:axId val="36894671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19303794"/>
        <c:crosses val="autoZero"/>
        <c:crossBetween val="midCat"/>
      </c:valAx>
      <c:valAx>
        <c:axId val="1193037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368946719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Accounts receivable, net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BS!$C$11:$AD$11</c:f>
              <c:numCache>
                <c:formatCode>_("$"* #,##0.0_);_("$"* \(#,##0.0\);_("$"* "-"_);_(@_)</c:formatCode>
                <c:ptCount val="23"/>
                <c:pt idx="0">
                  <c:v>2.9317000000000002</c:v>
                </c:pt>
                <c:pt idx="1">
                  <c:v>130.18799999999999</c:v>
                </c:pt>
                <c:pt idx="2">
                  <c:v>147.18799999999999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81-4991-AE09-C0CE904F4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42464"/>
        <c:axId val="2090331175"/>
      </c:scatterChart>
      <c:valAx>
        <c:axId val="504424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090331175"/>
        <c:crosses val="autoZero"/>
        <c:crossBetween val="midCat"/>
      </c:valAx>
      <c:valAx>
        <c:axId val="20903311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50442464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Inventory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BS!$C$12:$AD$12</c:f>
              <c:numCache>
                <c:formatCode>_("$"* #,##0.0_);_("$"* \(#,##0.0\);_("$"* "-"_);_(@_)</c:formatCode>
                <c:ptCount val="23"/>
                <c:pt idx="0">
                  <c:v>50.215000000000003</c:v>
                </c:pt>
                <c:pt idx="1">
                  <c:v>42.570999999999998</c:v>
                </c:pt>
                <c:pt idx="2">
                  <c:v>28.273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3F-47A8-B860-CD706D1B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961393"/>
        <c:axId val="447525266"/>
      </c:scatterChart>
      <c:valAx>
        <c:axId val="134896139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447525266"/>
        <c:crosses val="autoZero"/>
        <c:crossBetween val="midCat"/>
      </c:valAx>
      <c:valAx>
        <c:axId val="44752526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348961393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Other current assets 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BS!$C$7:$AD$7</c:f>
              <c:numCache>
                <c:formatCode>#\A</c:formatCode>
                <c:ptCount val="2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 formatCode="#\E">
                  <c:v>2023</c:v>
                </c:pt>
                <c:pt idx="4" formatCode="#\E">
                  <c:v>2024</c:v>
                </c:pt>
                <c:pt idx="5" formatCode="#\E">
                  <c:v>2025</c:v>
                </c:pt>
                <c:pt idx="6" formatCode="#\E">
                  <c:v>2026</c:v>
                </c:pt>
                <c:pt idx="7" formatCode="#\E">
                  <c:v>2027</c:v>
                </c:pt>
                <c:pt idx="8" formatCode="#\E">
                  <c:v>2028</c:v>
                </c:pt>
                <c:pt idx="9" formatCode="#\E">
                  <c:v>2029</c:v>
                </c:pt>
                <c:pt idx="10" formatCode="#\E">
                  <c:v>2030</c:v>
                </c:pt>
                <c:pt idx="11" formatCode="#\E">
                  <c:v>2031</c:v>
                </c:pt>
                <c:pt idx="12" formatCode="#\E">
                  <c:v>2032</c:v>
                </c:pt>
                <c:pt idx="13" formatCode="#\E">
                  <c:v>2033</c:v>
                </c:pt>
                <c:pt idx="14" formatCode="#\E">
                  <c:v>2034</c:v>
                </c:pt>
                <c:pt idx="15" formatCode="#\E">
                  <c:v>2035</c:v>
                </c:pt>
                <c:pt idx="16" formatCode="#\E">
                  <c:v>2036</c:v>
                </c:pt>
                <c:pt idx="17" formatCode="#\E">
                  <c:v>2037</c:v>
                </c:pt>
                <c:pt idx="18" formatCode="#\E">
                  <c:v>2038</c:v>
                </c:pt>
                <c:pt idx="19" formatCode="#\E">
                  <c:v>2039</c:v>
                </c:pt>
                <c:pt idx="20" formatCode="#\E">
                  <c:v>2040</c:v>
                </c:pt>
                <c:pt idx="21" formatCode="#\E">
                  <c:v>2041</c:v>
                </c:pt>
                <c:pt idx="22" formatCode="#\E">
                  <c:v>2042</c:v>
                </c:pt>
              </c:numCache>
            </c:numRef>
          </c:xVal>
          <c:yVal>
            <c:numRef>
              <c:f>BS!$C$14:$AD$14</c:f>
              <c:numCache>
                <c:formatCode>_("$"* #,##0.0_);_("$"* \(#,##0.0\);_("$"* "-"_);_(@_)</c:formatCode>
                <c:ptCount val="23"/>
                <c:pt idx="0">
                  <c:v>85.191999999999993</c:v>
                </c:pt>
                <c:pt idx="1">
                  <c:v>81.759</c:v>
                </c:pt>
                <c:pt idx="2">
                  <c:v>117.488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59-4604-A122-D3BF96A81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190964"/>
        <c:axId val="1813079671"/>
      </c:scatterChart>
      <c:valAx>
        <c:axId val="21131909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\A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1813079671"/>
        <c:crosses val="autoZero"/>
        <c:crossBetween val="midCat"/>
      </c:valAx>
      <c:valAx>
        <c:axId val="18130796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(&quot;$&quot;* #,##0.0_);_(&quot;$&quot;* \(#,##0.0\);_(&quot;$&quot;* &quot;-&quot;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CN"/>
          </a:p>
        </c:txPr>
        <c:crossAx val="2113190964"/>
        <c:crosses val="autoZero"/>
        <c:crossBetween val="midCat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CN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18" Type="http://schemas.openxmlformats.org/officeDocument/2006/relationships/chart" Target="../charts/chart23.xml"/><Relationship Id="rId26" Type="http://schemas.openxmlformats.org/officeDocument/2006/relationships/chart" Target="../charts/chart31.xml"/><Relationship Id="rId3" Type="http://schemas.openxmlformats.org/officeDocument/2006/relationships/chart" Target="../charts/chart8.xml"/><Relationship Id="rId21" Type="http://schemas.openxmlformats.org/officeDocument/2006/relationships/chart" Target="../charts/chart26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17" Type="http://schemas.openxmlformats.org/officeDocument/2006/relationships/chart" Target="../charts/chart22.xml"/><Relationship Id="rId25" Type="http://schemas.openxmlformats.org/officeDocument/2006/relationships/chart" Target="../charts/chart30.xml"/><Relationship Id="rId2" Type="http://schemas.openxmlformats.org/officeDocument/2006/relationships/chart" Target="../charts/chart7.xml"/><Relationship Id="rId16" Type="http://schemas.openxmlformats.org/officeDocument/2006/relationships/chart" Target="../charts/chart21.xml"/><Relationship Id="rId20" Type="http://schemas.openxmlformats.org/officeDocument/2006/relationships/chart" Target="../charts/chart25.xml"/><Relationship Id="rId29" Type="http://schemas.openxmlformats.org/officeDocument/2006/relationships/chart" Target="../charts/chart34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24" Type="http://schemas.openxmlformats.org/officeDocument/2006/relationships/chart" Target="../charts/chart29.xml"/><Relationship Id="rId5" Type="http://schemas.openxmlformats.org/officeDocument/2006/relationships/chart" Target="../charts/chart10.xml"/><Relationship Id="rId15" Type="http://schemas.openxmlformats.org/officeDocument/2006/relationships/chart" Target="../charts/chart20.xml"/><Relationship Id="rId23" Type="http://schemas.openxmlformats.org/officeDocument/2006/relationships/chart" Target="../charts/chart28.xml"/><Relationship Id="rId28" Type="http://schemas.openxmlformats.org/officeDocument/2006/relationships/chart" Target="../charts/chart33.xml"/><Relationship Id="rId10" Type="http://schemas.openxmlformats.org/officeDocument/2006/relationships/chart" Target="../charts/chart15.xml"/><Relationship Id="rId19" Type="http://schemas.openxmlformats.org/officeDocument/2006/relationships/chart" Target="../charts/chart24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Relationship Id="rId22" Type="http://schemas.openxmlformats.org/officeDocument/2006/relationships/chart" Target="../charts/chart27.xml"/><Relationship Id="rId27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169334</xdr:colOff>
      <xdr:row>1</xdr:row>
      <xdr:rowOff>76640</xdr:rowOff>
    </xdr:from>
    <xdr:to>
      <xdr:col>14</xdr:col>
      <xdr:colOff>2117</xdr:colOff>
      <xdr:row>3</xdr:row>
      <xdr:rowOff>59267</xdr:rowOff>
    </xdr:to>
    <xdr:pic>
      <xdr:nvPicPr>
        <xdr:cNvPr id="3" name="Picture 2" descr="HEICO Corporation Acquires Leading Power Distribution Systems Maker">
          <a:extLst>
            <a:ext uri="{FF2B5EF4-FFF2-40B4-BE49-F238E27FC236}">
              <a16:creationId xmlns:a16="http://schemas.microsoft.com/office/drawing/2014/main" id="{D3CF9100-599A-D3BE-D3F0-8E545EBF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7667" y="235390"/>
          <a:ext cx="1462617" cy="427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97</xdr:row>
      <xdr:rowOff>104775</xdr:rowOff>
    </xdr:from>
    <xdr:ext cx="4572000" cy="2743200"/>
    <xdr:graphicFrame macro="">
      <xdr:nvGraphicFramePr>
        <xdr:cNvPr id="1639271542" name="Chart 9">
          <a:extLst>
            <a:ext uri="{FF2B5EF4-FFF2-40B4-BE49-F238E27FC236}">
              <a16:creationId xmlns:a16="http://schemas.microsoft.com/office/drawing/2014/main" id="{00000000-0008-0000-0100-0000764CB561}"/>
            </a:ext>
            <a:ext uri="{147F2762-F138-4A5C-976F-8EAC2B608ADB}">
              <a16:predDERef xmlns:a16="http://schemas.microsoft.com/office/drawing/2014/main" pred="{00000000-0008-0000-0100-00006C853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97</xdr:row>
      <xdr:rowOff>133350</xdr:rowOff>
    </xdr:from>
    <xdr:ext cx="4572000" cy="2743200"/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100-0000DE31F13C}"/>
            </a:ext>
            <a:ext uri="{147F2762-F138-4A5C-976F-8EAC2B608ADB}">
              <a16:predDERef xmlns:a16="http://schemas.microsoft.com/office/drawing/2014/main" pred="{00000000-0008-0000-0100-0000764CB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295275</xdr:colOff>
      <xdr:row>98</xdr:row>
      <xdr:rowOff>28575</xdr:rowOff>
    </xdr:from>
    <xdr:ext cx="4572000" cy="2743200"/>
    <xdr:graphicFrame macro="">
      <xdr:nvGraphicFramePr>
        <xdr:cNvPr id="815241817" name="Chart 13">
          <a:extLst>
            <a:ext uri="{FF2B5EF4-FFF2-40B4-BE49-F238E27FC236}">
              <a16:creationId xmlns:a16="http://schemas.microsoft.com/office/drawing/2014/main" id="{00000000-0008-0000-0100-0000599A9730}"/>
            </a:ext>
            <a:ext uri="{147F2762-F138-4A5C-976F-8EAC2B608ADB}">
              <a16:predDERef xmlns:a16="http://schemas.microsoft.com/office/drawing/2014/main" pred="{00000000-0008-0000-0100-0000BD60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333374</xdr:colOff>
      <xdr:row>3</xdr:row>
      <xdr:rowOff>6459</xdr:rowOff>
    </xdr:from>
    <xdr:to>
      <xdr:col>21</xdr:col>
      <xdr:colOff>542979</xdr:colOff>
      <xdr:row>31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6B6F04-8604-3F6A-7593-7C830361D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599" y="549384"/>
          <a:ext cx="8896405" cy="51465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69</xdr:row>
      <xdr:rowOff>123825</xdr:rowOff>
    </xdr:from>
    <xdr:ext cx="4572000" cy="2886075"/>
    <xdr:graphicFrame macro="">
      <xdr:nvGraphicFramePr>
        <xdr:cNvPr id="1639857390" name="Chart 18">
          <a:extLst>
            <a:ext uri="{FF2B5EF4-FFF2-40B4-BE49-F238E27FC236}">
              <a16:creationId xmlns:a16="http://schemas.microsoft.com/office/drawing/2014/main" id="{00000000-0008-0000-0500-0000EE3CBE61}"/>
            </a:ext>
            <a:ext uri="{147F2762-F138-4A5C-976F-8EAC2B608ADB}">
              <a16:predDERef xmlns:a16="http://schemas.microsoft.com/office/drawing/2014/main" pred="{00000000-0008-0000-0500-00001EC7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16</xdr:col>
      <xdr:colOff>0</xdr:colOff>
      <xdr:row>85</xdr:row>
      <xdr:rowOff>19050</xdr:rowOff>
    </xdr:from>
    <xdr:ext cx="4572000" cy="2876550"/>
    <xdr:graphicFrame macro="">
      <xdr:nvGraphicFramePr>
        <xdr:cNvPr id="347691539" name="Chart 23">
          <a:extLst>
            <a:ext uri="{FF2B5EF4-FFF2-40B4-BE49-F238E27FC236}">
              <a16:creationId xmlns:a16="http://schemas.microsoft.com/office/drawing/2014/main" id="{00000000-0008-0000-0500-0000135AB914}"/>
            </a:ext>
            <a:ext uri="{147F2762-F138-4A5C-976F-8EAC2B608ADB}">
              <a16:predDERef xmlns:a16="http://schemas.microsoft.com/office/drawing/2014/main" pred="{00000000-0008-0000-0500-0000EE3CB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352425</xdr:colOff>
      <xdr:row>8</xdr:row>
      <xdr:rowOff>104775</xdr:rowOff>
    </xdr:from>
    <xdr:ext cx="4572000" cy="2876550"/>
    <xdr:graphicFrame macro="">
      <xdr:nvGraphicFramePr>
        <xdr:cNvPr id="1949195337" name="Chart 30">
          <a:extLst>
            <a:ext uri="{FF2B5EF4-FFF2-40B4-BE49-F238E27FC236}">
              <a16:creationId xmlns:a16="http://schemas.microsoft.com/office/drawing/2014/main" id="{00000000-0008-0000-0600-0000495C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30</xdr:col>
      <xdr:colOff>323850</xdr:colOff>
      <xdr:row>23</xdr:row>
      <xdr:rowOff>161925</xdr:rowOff>
    </xdr:from>
    <xdr:ext cx="4572000" cy="2886075"/>
    <xdr:graphicFrame macro="">
      <xdr:nvGraphicFramePr>
        <xdr:cNvPr id="1828384228" name="Chart 31">
          <a:extLst>
            <a:ext uri="{FF2B5EF4-FFF2-40B4-BE49-F238E27FC236}">
              <a16:creationId xmlns:a16="http://schemas.microsoft.com/office/drawing/2014/main" id="{00000000-0008-0000-0600-0000E4EDFA6C}"/>
            </a:ext>
            <a:ext uri="{147F2762-F138-4A5C-976F-8EAC2B608ADB}">
              <a16:predDERef xmlns:a16="http://schemas.microsoft.com/office/drawing/2014/main" pred="{00000000-0008-0000-0600-0000495C2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30</xdr:col>
      <xdr:colOff>352425</xdr:colOff>
      <xdr:row>39</xdr:row>
      <xdr:rowOff>9525</xdr:rowOff>
    </xdr:from>
    <xdr:ext cx="4572000" cy="2876550"/>
    <xdr:graphicFrame macro="">
      <xdr:nvGraphicFramePr>
        <xdr:cNvPr id="568827282" name="Chart 32">
          <a:extLst>
            <a:ext uri="{FF2B5EF4-FFF2-40B4-BE49-F238E27FC236}">
              <a16:creationId xmlns:a16="http://schemas.microsoft.com/office/drawing/2014/main" id="{00000000-0008-0000-0600-0000929DE721}"/>
            </a:ext>
            <a:ext uri="{147F2762-F138-4A5C-976F-8EAC2B608ADB}">
              <a16:predDERef xmlns:a16="http://schemas.microsoft.com/office/drawing/2014/main" pred="{00000000-0008-0000-0600-0000E4EDF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30</xdr:col>
      <xdr:colOff>333375</xdr:colOff>
      <xdr:row>54</xdr:row>
      <xdr:rowOff>0</xdr:rowOff>
    </xdr:from>
    <xdr:ext cx="4572000" cy="3486150"/>
    <xdr:graphicFrame macro="">
      <xdr:nvGraphicFramePr>
        <xdr:cNvPr id="1401107855" name="Chart 33">
          <a:extLst>
            <a:ext uri="{FF2B5EF4-FFF2-40B4-BE49-F238E27FC236}">
              <a16:creationId xmlns:a16="http://schemas.microsoft.com/office/drawing/2014/main" id="{00000000-0008-0000-0600-00008F358353}"/>
            </a:ext>
            <a:ext uri="{147F2762-F138-4A5C-976F-8EAC2B608ADB}">
              <a16:predDERef xmlns:a16="http://schemas.microsoft.com/office/drawing/2014/main" pred="{00000000-0008-0000-0600-0000929DE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533400</xdr:colOff>
      <xdr:row>64</xdr:row>
      <xdr:rowOff>104775</xdr:rowOff>
    </xdr:from>
    <xdr:ext cx="4572000" cy="2876550"/>
    <xdr:graphicFrame macro="">
      <xdr:nvGraphicFramePr>
        <xdr:cNvPr id="2095304449" name="Chart 34">
          <a:extLst>
            <a:ext uri="{FF2B5EF4-FFF2-40B4-BE49-F238E27FC236}">
              <a16:creationId xmlns:a16="http://schemas.microsoft.com/office/drawing/2014/main" id="{00000000-0008-0000-0600-000001CFE37C}"/>
            </a:ext>
            <a:ext uri="{147F2762-F138-4A5C-976F-8EAC2B608ADB}">
              <a16:predDERef xmlns:a16="http://schemas.microsoft.com/office/drawing/2014/main" pred="{00000000-0008-0000-0600-00008F358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7</xdr:col>
      <xdr:colOff>38100</xdr:colOff>
      <xdr:row>63</xdr:row>
      <xdr:rowOff>152400</xdr:rowOff>
    </xdr:from>
    <xdr:ext cx="4572000" cy="2886075"/>
    <xdr:graphicFrame macro="">
      <xdr:nvGraphicFramePr>
        <xdr:cNvPr id="950864321" name="Chart 35">
          <a:extLst>
            <a:ext uri="{FF2B5EF4-FFF2-40B4-BE49-F238E27FC236}">
              <a16:creationId xmlns:a16="http://schemas.microsoft.com/office/drawing/2014/main" id="{00000000-0008-0000-0600-0000C109AD38}"/>
            </a:ext>
            <a:ext uri="{147F2762-F138-4A5C-976F-8EAC2B608ADB}">
              <a16:predDERef xmlns:a16="http://schemas.microsoft.com/office/drawing/2014/main" pred="{00000000-0008-0000-0600-000001CFE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10</xdr:col>
      <xdr:colOff>228600</xdr:colOff>
      <xdr:row>59</xdr:row>
      <xdr:rowOff>123825</xdr:rowOff>
    </xdr:from>
    <xdr:ext cx="4572000" cy="2886075"/>
    <xdr:graphicFrame macro="">
      <xdr:nvGraphicFramePr>
        <xdr:cNvPr id="552362969" name="Chart 36">
          <a:extLst>
            <a:ext uri="{FF2B5EF4-FFF2-40B4-BE49-F238E27FC236}">
              <a16:creationId xmlns:a16="http://schemas.microsoft.com/office/drawing/2014/main" id="{00000000-0008-0000-0600-0000D963EC20}"/>
            </a:ext>
            <a:ext uri="{147F2762-F138-4A5C-976F-8EAC2B608ADB}">
              <a16:predDERef xmlns:a16="http://schemas.microsoft.com/office/drawing/2014/main" pred="{00000000-0008-0000-0600-0000C109A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17</xdr:col>
      <xdr:colOff>0</xdr:colOff>
      <xdr:row>59</xdr:row>
      <xdr:rowOff>114300</xdr:rowOff>
    </xdr:from>
    <xdr:ext cx="4572000" cy="2886075"/>
    <xdr:graphicFrame macro="">
      <xdr:nvGraphicFramePr>
        <xdr:cNvPr id="1232940788" name="Chart 37">
          <a:extLst>
            <a:ext uri="{FF2B5EF4-FFF2-40B4-BE49-F238E27FC236}">
              <a16:creationId xmlns:a16="http://schemas.microsoft.com/office/drawing/2014/main" id="{00000000-0008-0000-0600-0000F42E7D49}"/>
            </a:ext>
            <a:ext uri="{147F2762-F138-4A5C-976F-8EAC2B608ADB}">
              <a16:predDERef xmlns:a16="http://schemas.microsoft.com/office/drawing/2014/main" pred="{00000000-0008-0000-0600-0000D963E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561975</xdr:colOff>
      <xdr:row>75</xdr:row>
      <xdr:rowOff>142875</xdr:rowOff>
    </xdr:from>
    <xdr:ext cx="4572000" cy="2886075"/>
    <xdr:graphicFrame macro="">
      <xdr:nvGraphicFramePr>
        <xdr:cNvPr id="1227600090" name="Chart 38">
          <a:extLst>
            <a:ext uri="{FF2B5EF4-FFF2-40B4-BE49-F238E27FC236}">
              <a16:creationId xmlns:a16="http://schemas.microsoft.com/office/drawing/2014/main" id="{00000000-0008-0000-0600-0000DAB02B49}"/>
            </a:ext>
            <a:ext uri="{147F2762-F138-4A5C-976F-8EAC2B608ADB}">
              <a16:predDERef xmlns:a16="http://schemas.microsoft.com/office/drawing/2014/main" pred="{00000000-0008-0000-0600-0000F42E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3</xdr:col>
      <xdr:colOff>333375</xdr:colOff>
      <xdr:row>75</xdr:row>
      <xdr:rowOff>161925</xdr:rowOff>
    </xdr:from>
    <xdr:ext cx="4572000" cy="2886075"/>
    <xdr:graphicFrame macro="">
      <xdr:nvGraphicFramePr>
        <xdr:cNvPr id="1766351376" name="Chart 39">
          <a:extLst>
            <a:ext uri="{FF2B5EF4-FFF2-40B4-BE49-F238E27FC236}">
              <a16:creationId xmlns:a16="http://schemas.microsoft.com/office/drawing/2014/main" id="{00000000-0008-0000-0600-000010624869}"/>
            </a:ext>
            <a:ext uri="{147F2762-F138-4A5C-976F-8EAC2B608ADB}">
              <a16:predDERef xmlns:a16="http://schemas.microsoft.com/office/drawing/2014/main" pred="{00000000-0008-0000-0600-0000DAB02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10</xdr:col>
      <xdr:colOff>276225</xdr:colOff>
      <xdr:row>75</xdr:row>
      <xdr:rowOff>152400</xdr:rowOff>
    </xdr:from>
    <xdr:ext cx="4572000" cy="2886075"/>
    <xdr:graphicFrame macro="">
      <xdr:nvGraphicFramePr>
        <xdr:cNvPr id="2054323763" name="Chart 40">
          <a:extLst>
            <a:ext uri="{FF2B5EF4-FFF2-40B4-BE49-F238E27FC236}">
              <a16:creationId xmlns:a16="http://schemas.microsoft.com/office/drawing/2014/main" id="{00000000-0008-0000-0600-0000337E727A}"/>
            </a:ext>
            <a:ext uri="{147F2762-F138-4A5C-976F-8EAC2B608ADB}">
              <a16:predDERef xmlns:a16="http://schemas.microsoft.com/office/drawing/2014/main" pred="{00000000-0008-0000-0600-000010624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16</xdr:col>
      <xdr:colOff>704850</xdr:colOff>
      <xdr:row>75</xdr:row>
      <xdr:rowOff>171450</xdr:rowOff>
    </xdr:from>
    <xdr:ext cx="4572000" cy="2886075"/>
    <xdr:graphicFrame macro="">
      <xdr:nvGraphicFramePr>
        <xdr:cNvPr id="1872738668" name="Chart 41">
          <a:extLst>
            <a:ext uri="{FF2B5EF4-FFF2-40B4-BE49-F238E27FC236}">
              <a16:creationId xmlns:a16="http://schemas.microsoft.com/office/drawing/2014/main" id="{00000000-0008-0000-0600-00006CB99F6F}"/>
            </a:ext>
            <a:ext uri="{147F2762-F138-4A5C-976F-8EAC2B608ADB}">
              <a16:predDERef xmlns:a16="http://schemas.microsoft.com/office/drawing/2014/main" pred="{00000000-0008-0000-0600-0000337E7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561975</xdr:colOff>
      <xdr:row>92</xdr:row>
      <xdr:rowOff>66675</xdr:rowOff>
    </xdr:from>
    <xdr:ext cx="4572000" cy="2876550"/>
    <xdr:graphicFrame macro="">
      <xdr:nvGraphicFramePr>
        <xdr:cNvPr id="983954332" name="Chart 42">
          <a:extLst>
            <a:ext uri="{FF2B5EF4-FFF2-40B4-BE49-F238E27FC236}">
              <a16:creationId xmlns:a16="http://schemas.microsoft.com/office/drawing/2014/main" id="{00000000-0008-0000-0600-00009CF3A53A}"/>
            </a:ext>
            <a:ext uri="{147F2762-F138-4A5C-976F-8EAC2B608ADB}">
              <a16:predDERef xmlns:a16="http://schemas.microsoft.com/office/drawing/2014/main" pred="{00000000-0008-0000-0600-00006CB99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</xdr:col>
      <xdr:colOff>361950</xdr:colOff>
      <xdr:row>92</xdr:row>
      <xdr:rowOff>133350</xdr:rowOff>
    </xdr:from>
    <xdr:ext cx="4572000" cy="2886075"/>
    <xdr:graphicFrame macro="">
      <xdr:nvGraphicFramePr>
        <xdr:cNvPr id="459882740" name="Chart 43">
          <a:extLst>
            <a:ext uri="{FF2B5EF4-FFF2-40B4-BE49-F238E27FC236}">
              <a16:creationId xmlns:a16="http://schemas.microsoft.com/office/drawing/2014/main" id="{00000000-0008-0000-0600-0000F440691B}"/>
            </a:ext>
            <a:ext uri="{147F2762-F138-4A5C-976F-8EAC2B608ADB}">
              <a16:predDERef xmlns:a16="http://schemas.microsoft.com/office/drawing/2014/main" pred="{00000000-0008-0000-0600-00009CF3A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10</xdr:col>
      <xdr:colOff>285750</xdr:colOff>
      <xdr:row>92</xdr:row>
      <xdr:rowOff>95250</xdr:rowOff>
    </xdr:from>
    <xdr:ext cx="4572000" cy="2876550"/>
    <xdr:graphicFrame macro="">
      <xdr:nvGraphicFramePr>
        <xdr:cNvPr id="1840974876" name="Chart 44">
          <a:extLst>
            <a:ext uri="{FF2B5EF4-FFF2-40B4-BE49-F238E27FC236}">
              <a16:creationId xmlns:a16="http://schemas.microsoft.com/office/drawing/2014/main" id="{00000000-0008-0000-0600-00001C0CBB6D}"/>
            </a:ext>
            <a:ext uri="{147F2762-F138-4A5C-976F-8EAC2B608ADB}">
              <a16:predDERef xmlns:a16="http://schemas.microsoft.com/office/drawing/2014/main" pred="{00000000-0008-0000-0600-0000F4406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17</xdr:col>
      <xdr:colOff>57150</xdr:colOff>
      <xdr:row>92</xdr:row>
      <xdr:rowOff>104775</xdr:rowOff>
    </xdr:from>
    <xdr:ext cx="4572000" cy="2876550"/>
    <xdr:graphicFrame macro="">
      <xdr:nvGraphicFramePr>
        <xdr:cNvPr id="1883705171" name="Chart 45">
          <a:extLst>
            <a:ext uri="{FF2B5EF4-FFF2-40B4-BE49-F238E27FC236}">
              <a16:creationId xmlns:a16="http://schemas.microsoft.com/office/drawing/2014/main" id="{00000000-0008-0000-0600-0000530F4770}"/>
            </a:ext>
            <a:ext uri="{147F2762-F138-4A5C-976F-8EAC2B608ADB}">
              <a16:predDERef xmlns:a16="http://schemas.microsoft.com/office/drawing/2014/main" pred="{00000000-0008-0000-0600-00001C0CB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0</xdr:col>
      <xdr:colOff>533400</xdr:colOff>
      <xdr:row>107</xdr:row>
      <xdr:rowOff>123825</xdr:rowOff>
    </xdr:from>
    <xdr:ext cx="4572000" cy="2886075"/>
    <xdr:graphicFrame macro="">
      <xdr:nvGraphicFramePr>
        <xdr:cNvPr id="965565073" name="Chart 46">
          <a:extLst>
            <a:ext uri="{FF2B5EF4-FFF2-40B4-BE49-F238E27FC236}">
              <a16:creationId xmlns:a16="http://schemas.microsoft.com/office/drawing/2014/main" id="{00000000-0008-0000-0600-0000915A8D39}"/>
            </a:ext>
            <a:ext uri="{147F2762-F138-4A5C-976F-8EAC2B608ADB}">
              <a16:predDERef xmlns:a16="http://schemas.microsoft.com/office/drawing/2014/main" pred="{00000000-0008-0000-0600-0000530F4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0</xdr:col>
      <xdr:colOff>533400</xdr:colOff>
      <xdr:row>123</xdr:row>
      <xdr:rowOff>38100</xdr:rowOff>
    </xdr:from>
    <xdr:ext cx="4572000" cy="2876550"/>
    <xdr:graphicFrame macro="">
      <xdr:nvGraphicFramePr>
        <xdr:cNvPr id="823700559" name="Chart 47">
          <a:extLst>
            <a:ext uri="{FF2B5EF4-FFF2-40B4-BE49-F238E27FC236}">
              <a16:creationId xmlns:a16="http://schemas.microsoft.com/office/drawing/2014/main" id="{00000000-0008-0000-0600-00004FAC1831}"/>
            </a:ext>
            <a:ext uri="{147F2762-F138-4A5C-976F-8EAC2B608ADB}">
              <a16:predDERef xmlns:a16="http://schemas.microsoft.com/office/drawing/2014/main" pred="{00000000-0008-0000-0600-0000915A8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3</xdr:col>
      <xdr:colOff>323850</xdr:colOff>
      <xdr:row>123</xdr:row>
      <xdr:rowOff>0</xdr:rowOff>
    </xdr:from>
    <xdr:ext cx="4572000" cy="2876550"/>
    <xdr:graphicFrame macro="">
      <xdr:nvGraphicFramePr>
        <xdr:cNvPr id="2092009587" name="Chart 48">
          <a:extLst>
            <a:ext uri="{FF2B5EF4-FFF2-40B4-BE49-F238E27FC236}">
              <a16:creationId xmlns:a16="http://schemas.microsoft.com/office/drawing/2014/main" id="{00000000-0008-0000-0600-00007388B17C}"/>
            </a:ext>
            <a:ext uri="{147F2762-F138-4A5C-976F-8EAC2B608ADB}">
              <a16:predDERef xmlns:a16="http://schemas.microsoft.com/office/drawing/2014/main" pred="{00000000-0008-0000-0600-00004FAC1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10</xdr:col>
      <xdr:colOff>314325</xdr:colOff>
      <xdr:row>123</xdr:row>
      <xdr:rowOff>28575</xdr:rowOff>
    </xdr:from>
    <xdr:ext cx="4572000" cy="2876550"/>
    <xdr:graphicFrame macro="">
      <xdr:nvGraphicFramePr>
        <xdr:cNvPr id="1963344478" name="Chart 49">
          <a:extLst>
            <a:ext uri="{FF2B5EF4-FFF2-40B4-BE49-F238E27FC236}">
              <a16:creationId xmlns:a16="http://schemas.microsoft.com/office/drawing/2014/main" id="{00000000-0008-0000-0600-00005E420675}"/>
            </a:ext>
            <a:ext uri="{147F2762-F138-4A5C-976F-8EAC2B608ADB}">
              <a16:predDERef xmlns:a16="http://schemas.microsoft.com/office/drawing/2014/main" pred="{00000000-0008-0000-0600-00007388B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  <xdr:oneCellAnchor>
    <xdr:from>
      <xdr:col>17</xdr:col>
      <xdr:colOff>295275</xdr:colOff>
      <xdr:row>122</xdr:row>
      <xdr:rowOff>114300</xdr:rowOff>
    </xdr:from>
    <xdr:ext cx="4572000" cy="2886075"/>
    <xdr:graphicFrame macro="">
      <xdr:nvGraphicFramePr>
        <xdr:cNvPr id="1707121050" name="Chart 50">
          <a:extLst>
            <a:ext uri="{FF2B5EF4-FFF2-40B4-BE49-F238E27FC236}">
              <a16:creationId xmlns:a16="http://schemas.microsoft.com/office/drawing/2014/main" id="{00000000-0008-0000-0600-00009A99C065}"/>
            </a:ext>
            <a:ext uri="{147F2762-F138-4A5C-976F-8EAC2B608ADB}">
              <a16:predDERef xmlns:a16="http://schemas.microsoft.com/office/drawing/2014/main" pred="{00000000-0008-0000-0600-00005E420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oneCellAnchor>
  <xdr:oneCellAnchor>
    <xdr:from>
      <xdr:col>0</xdr:col>
      <xdr:colOff>552450</xdr:colOff>
      <xdr:row>140</xdr:row>
      <xdr:rowOff>47625</xdr:rowOff>
    </xdr:from>
    <xdr:ext cx="4572000" cy="2876550"/>
    <xdr:graphicFrame macro="">
      <xdr:nvGraphicFramePr>
        <xdr:cNvPr id="29537934" name="Chart 51">
          <a:extLst>
            <a:ext uri="{FF2B5EF4-FFF2-40B4-BE49-F238E27FC236}">
              <a16:creationId xmlns:a16="http://schemas.microsoft.com/office/drawing/2014/main" id="{00000000-0008-0000-0600-00008EB6C201}"/>
            </a:ext>
            <a:ext uri="{147F2762-F138-4A5C-976F-8EAC2B608ADB}">
              <a16:predDERef xmlns:a16="http://schemas.microsoft.com/office/drawing/2014/main" pred="{00000000-0008-0000-0600-00009A99C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oneCellAnchor>
  <xdr:oneCellAnchor>
    <xdr:from>
      <xdr:col>3</xdr:col>
      <xdr:colOff>476250</xdr:colOff>
      <xdr:row>141</xdr:row>
      <xdr:rowOff>152400</xdr:rowOff>
    </xdr:from>
    <xdr:ext cx="4572000" cy="2886075"/>
    <xdr:graphicFrame macro="">
      <xdr:nvGraphicFramePr>
        <xdr:cNvPr id="790601210" name="Chart 52">
          <a:extLst>
            <a:ext uri="{FF2B5EF4-FFF2-40B4-BE49-F238E27FC236}">
              <a16:creationId xmlns:a16="http://schemas.microsoft.com/office/drawing/2014/main" id="{00000000-0008-0000-0600-0000FA9D1F2F}"/>
            </a:ext>
            <a:ext uri="{147F2762-F138-4A5C-976F-8EAC2B608ADB}">
              <a16:predDERef xmlns:a16="http://schemas.microsoft.com/office/drawing/2014/main" pred="{00000000-0008-0000-0600-00008EB6C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oneCellAnchor>
  <xdr:oneCellAnchor>
    <xdr:from>
      <xdr:col>10</xdr:col>
      <xdr:colOff>457200</xdr:colOff>
      <xdr:row>141</xdr:row>
      <xdr:rowOff>123825</xdr:rowOff>
    </xdr:from>
    <xdr:ext cx="4572000" cy="2886075"/>
    <xdr:graphicFrame macro="">
      <xdr:nvGraphicFramePr>
        <xdr:cNvPr id="1965645803" name="Chart 53">
          <a:extLst>
            <a:ext uri="{FF2B5EF4-FFF2-40B4-BE49-F238E27FC236}">
              <a16:creationId xmlns:a16="http://schemas.microsoft.com/office/drawing/2014/main" id="{00000000-0008-0000-0600-0000EB5F2975}"/>
            </a:ext>
            <a:ext uri="{147F2762-F138-4A5C-976F-8EAC2B608ADB}">
              <a16:predDERef xmlns:a16="http://schemas.microsoft.com/office/drawing/2014/main" pred="{00000000-0008-0000-0600-0000FA9D1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 fLocksWithSheet="0"/>
  </xdr:oneCellAnchor>
  <xdr:oneCellAnchor>
    <xdr:from>
      <xdr:col>17</xdr:col>
      <xdr:colOff>390525</xdr:colOff>
      <xdr:row>141</xdr:row>
      <xdr:rowOff>66675</xdr:rowOff>
    </xdr:from>
    <xdr:ext cx="4572000" cy="2876550"/>
    <xdr:graphicFrame macro="">
      <xdr:nvGraphicFramePr>
        <xdr:cNvPr id="1469586541" name="Chart 54">
          <a:extLst>
            <a:ext uri="{FF2B5EF4-FFF2-40B4-BE49-F238E27FC236}">
              <a16:creationId xmlns:a16="http://schemas.microsoft.com/office/drawing/2014/main" id="{00000000-0008-0000-0600-00006D1C9857}"/>
            </a:ext>
            <a:ext uri="{147F2762-F138-4A5C-976F-8EAC2B608ADB}">
              <a16:predDERef xmlns:a16="http://schemas.microsoft.com/office/drawing/2014/main" pred="{00000000-0008-0000-0600-0000EB5F2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 fLocksWithSheet="0"/>
  </xdr:oneCellAnchor>
  <xdr:oneCellAnchor>
    <xdr:from>
      <xdr:col>24</xdr:col>
      <xdr:colOff>152400</xdr:colOff>
      <xdr:row>140</xdr:row>
      <xdr:rowOff>66675</xdr:rowOff>
    </xdr:from>
    <xdr:ext cx="4572000" cy="2876550"/>
    <xdr:graphicFrame macro="">
      <xdr:nvGraphicFramePr>
        <xdr:cNvPr id="61716455" name="Chart 55">
          <a:extLst>
            <a:ext uri="{FF2B5EF4-FFF2-40B4-BE49-F238E27FC236}">
              <a16:creationId xmlns:a16="http://schemas.microsoft.com/office/drawing/2014/main" id="{00000000-0008-0000-0600-0000E7B7AD03}"/>
            </a:ext>
            <a:ext uri="{147F2762-F138-4A5C-976F-8EAC2B608ADB}">
              <a16:predDERef xmlns:a16="http://schemas.microsoft.com/office/drawing/2014/main" pred="{00000000-0008-0000-0600-00006D1C9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 fLocksWithSheet="0"/>
  </xdr:oneCellAnchor>
  <xdr:oneCellAnchor>
    <xdr:from>
      <xdr:col>30</xdr:col>
      <xdr:colOff>342900</xdr:colOff>
      <xdr:row>72</xdr:row>
      <xdr:rowOff>9525</xdr:rowOff>
    </xdr:from>
    <xdr:ext cx="4572000" cy="2876550"/>
    <xdr:graphicFrame macro="">
      <xdr:nvGraphicFramePr>
        <xdr:cNvPr id="886055161" name="Chart 56">
          <a:extLst>
            <a:ext uri="{FF2B5EF4-FFF2-40B4-BE49-F238E27FC236}">
              <a16:creationId xmlns:a16="http://schemas.microsoft.com/office/drawing/2014/main" id="{00000000-0008-0000-0600-0000F920D034}"/>
            </a:ext>
            <a:ext uri="{147F2762-F138-4A5C-976F-8EAC2B608ADB}">
              <a16:predDERef xmlns:a16="http://schemas.microsoft.com/office/drawing/2014/main" pred="{00000000-0008-0000-0600-0000E7B7A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 fLocksWithSheet="0"/>
  </xdr:oneCellAnchor>
  <xdr:oneCellAnchor>
    <xdr:from>
      <xdr:col>23</xdr:col>
      <xdr:colOff>514350</xdr:colOff>
      <xdr:row>59</xdr:row>
      <xdr:rowOff>152400</xdr:rowOff>
    </xdr:from>
    <xdr:ext cx="4572000" cy="2886075"/>
    <xdr:graphicFrame macro="">
      <xdr:nvGraphicFramePr>
        <xdr:cNvPr id="1272905567" name="Chart 57">
          <a:extLst>
            <a:ext uri="{FF2B5EF4-FFF2-40B4-BE49-F238E27FC236}">
              <a16:creationId xmlns:a16="http://schemas.microsoft.com/office/drawing/2014/main" id="{00000000-0008-0000-0600-00005FFFDE4B}"/>
            </a:ext>
            <a:ext uri="{147F2762-F138-4A5C-976F-8EAC2B608ADB}">
              <a16:predDERef xmlns:a16="http://schemas.microsoft.com/office/drawing/2014/main" pred="{00000000-0008-0000-0600-0000F920D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oneCellAnchor>
    <xdr:from>
      <xdr:col>23</xdr:col>
      <xdr:colOff>581025</xdr:colOff>
      <xdr:row>75</xdr:row>
      <xdr:rowOff>123825</xdr:rowOff>
    </xdr:from>
    <xdr:ext cx="4572000" cy="2886075"/>
    <xdr:graphicFrame macro="">
      <xdr:nvGraphicFramePr>
        <xdr:cNvPr id="1316320701" name="Chart 58">
          <a:extLst>
            <a:ext uri="{FF2B5EF4-FFF2-40B4-BE49-F238E27FC236}">
              <a16:creationId xmlns:a16="http://schemas.microsoft.com/office/drawing/2014/main" id="{00000000-0008-0000-0600-0000BD75754E}"/>
            </a:ext>
            <a:ext uri="{147F2762-F138-4A5C-976F-8EAC2B608ADB}">
              <a16:predDERef xmlns:a16="http://schemas.microsoft.com/office/drawing/2014/main" pred="{00000000-0008-0000-0600-00005FFFD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no365-my.sharepoint.com/Users/benjaminyao/Downloads/Alarm.com%20ALRM%20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no365-my.sharepoint.com/personal/jleejx_upenn_edu/Documents/PLTK%20LBO%20Case%20Mod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enno365-my.sharepoint.com/Users/ronn/Desktop/FNCE2060_PLTK_DCF%20-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Guidance"/>
      <sheetName val="Summary Page"/>
      <sheetName val="Update Log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ansaction Assumptions"/>
      <sheetName val="Operating Assumptions"/>
      <sheetName val="3FS"/>
      <sheetName val="Debt Schedule"/>
      <sheetName val="Public Comps - Operating"/>
      <sheetName val="Public Comps - Market"/>
      <sheetName val="Transaction Comps"/>
    </sheetNames>
    <sheetDataSet>
      <sheetData sheetId="0" refreshError="1"/>
      <sheetData sheetId="1">
        <row r="20">
          <cell r="J20">
            <v>4.4999999999999998E-2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CF"/>
      <sheetName val="Dashboard - Financing"/>
      <sheetName val="Dashboard - Operating"/>
      <sheetName val="Operating Model"/>
      <sheetName val="Forecasts - Operating"/>
      <sheetName val="Forecasts - Segment Results"/>
      <sheetName val="Forecasts - Financing "/>
      <sheetName val="Forecasts - Debt rating "/>
      <sheetName val="Public Comps - Main Set"/>
      <sheetName val="Public Comps - Tax Set"/>
      <sheetName val="Historical - Adjusted"/>
      <sheetName val="Historical - Data"/>
    </sheetNames>
    <sheetDataSet>
      <sheetData sheetId="0">
        <row r="11">
          <cell r="G11">
            <v>1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BDFA-79EE-4D1E-900B-947D117D83E4}">
  <dimension ref="B1:N19"/>
  <sheetViews>
    <sheetView showGridLines="0" zoomScale="109" zoomScaleNormal="110" workbookViewId="0">
      <selection activeCell="B7" sqref="B7"/>
    </sheetView>
  </sheetViews>
  <sheetFormatPr baseColWidth="10" defaultColWidth="10.83203125" defaultRowHeight="13" customHeight="1"/>
  <cols>
    <col min="1" max="1" width="1.5" style="380" customWidth="1"/>
    <col min="2" max="2" width="27.83203125" style="380" customWidth="1"/>
    <col min="3" max="5" width="10.83203125" style="380" customWidth="1"/>
    <col min="6" max="6" width="18" style="380" customWidth="1"/>
    <col min="7" max="7" width="8.83203125" style="380" bestFit="1" customWidth="1"/>
    <col min="8" max="8" width="2.5" style="380" customWidth="1"/>
    <col min="9" max="9" width="27.83203125" style="380" customWidth="1"/>
    <col min="10" max="12" width="10.83203125" style="380" customWidth="1"/>
    <col min="13" max="13" width="18" style="380" customWidth="1"/>
    <col min="14" max="14" width="6.5" style="380" customWidth="1"/>
    <col min="15" max="15" width="3.5" style="380" customWidth="1"/>
    <col min="16" max="16384" width="10.83203125" style="380"/>
  </cols>
  <sheetData>
    <row r="1" spans="2:14"/>
    <row r="2" spans="2:14" ht="20">
      <c r="B2" s="381" t="s">
        <v>661</v>
      </c>
      <c r="C2" s="382"/>
      <c r="D2" s="382"/>
      <c r="E2" s="382"/>
      <c r="F2" s="382"/>
      <c r="G2" s="382"/>
    </row>
    <row r="3" spans="2:14" ht="15">
      <c r="B3"/>
      <c r="C3" s="382"/>
      <c r="D3" s="382"/>
      <c r="F3" s="382"/>
      <c r="G3" s="382"/>
    </row>
    <row r="4" spans="2:14" ht="14">
      <c r="B4" s="383" t="s">
        <v>652</v>
      </c>
      <c r="C4" s="382"/>
      <c r="D4" s="382"/>
      <c r="E4" s="382"/>
      <c r="F4" s="382"/>
      <c r="G4" s="382"/>
    </row>
    <row r="5" spans="2:14" ht="14">
      <c r="B5" s="384" t="s">
        <v>653</v>
      </c>
      <c r="C5" s="385"/>
      <c r="D5" s="385"/>
      <c r="E5" s="385"/>
      <c r="F5" s="385"/>
      <c r="G5" s="385"/>
      <c r="H5" s="386"/>
      <c r="I5" s="386"/>
      <c r="J5" s="386"/>
      <c r="K5" s="386"/>
      <c r="L5" s="386"/>
      <c r="M5" s="386"/>
      <c r="N5" s="387"/>
    </row>
    <row r="6" spans="2:14" ht="14">
      <c r="B6" s="388" t="s">
        <v>654</v>
      </c>
      <c r="C6" s="382"/>
      <c r="D6" s="382"/>
      <c r="E6" s="382"/>
      <c r="F6" s="382"/>
      <c r="G6" s="382"/>
      <c r="N6" s="389"/>
    </row>
    <row r="7" spans="2:14" ht="14">
      <c r="B7" s="390" t="s">
        <v>663</v>
      </c>
      <c r="C7" s="391"/>
      <c r="D7" s="391"/>
      <c r="E7" s="391"/>
      <c r="F7" s="392"/>
      <c r="G7" s="393"/>
      <c r="H7" s="394"/>
      <c r="I7" s="394"/>
      <c r="J7" s="394"/>
      <c r="K7" s="394"/>
      <c r="L7" s="394"/>
      <c r="M7" s="394"/>
      <c r="N7" s="395"/>
    </row>
    <row r="8" spans="2:14" ht="14">
      <c r="B8" s="396" t="s">
        <v>655</v>
      </c>
      <c r="C8" s="391"/>
      <c r="D8" s="391"/>
      <c r="E8" s="391"/>
      <c r="F8" s="392"/>
      <c r="G8" s="393"/>
      <c r="H8" s="394"/>
      <c r="I8" s="394"/>
      <c r="J8" s="394"/>
      <c r="K8" s="394"/>
      <c r="L8" s="394"/>
      <c r="M8" s="394"/>
      <c r="N8" s="395"/>
    </row>
    <row r="9" spans="2:14" ht="14">
      <c r="B9" s="397" t="s">
        <v>662</v>
      </c>
      <c r="C9" s="398"/>
      <c r="D9" s="398"/>
      <c r="E9" s="398"/>
      <c r="F9" s="398"/>
      <c r="G9" s="398"/>
      <c r="H9" s="399"/>
      <c r="I9" s="399"/>
      <c r="J9" s="399"/>
      <c r="K9" s="399"/>
      <c r="L9" s="399"/>
      <c r="M9" s="399"/>
      <c r="N9" s="400"/>
    </row>
    <row r="10" spans="2:14" ht="14">
      <c r="B10" s="401"/>
      <c r="C10" s="382"/>
      <c r="D10" s="382"/>
      <c r="E10" s="382"/>
      <c r="F10" s="382"/>
      <c r="G10" s="382"/>
    </row>
    <row r="11" spans="2:14">
      <c r="B11" s="402"/>
    </row>
    <row r="12" spans="2:14">
      <c r="B12" s="405" t="s">
        <v>656</v>
      </c>
      <c r="C12" s="406"/>
      <c r="D12" s="405"/>
      <c r="E12" s="405"/>
      <c r="F12" s="405"/>
      <c r="G12" s="405"/>
    </row>
    <row r="13" spans="2:14"/>
    <row r="14" spans="2:14">
      <c r="B14" s="380" t="s">
        <v>657</v>
      </c>
      <c r="G14" s="403">
        <f>'FCF &amp; Valuation'!H40</f>
        <v>296.3477731966089</v>
      </c>
    </row>
    <row r="15" spans="2:14">
      <c r="B15" s="380" t="s">
        <v>658</v>
      </c>
      <c r="G15" s="403">
        <f>'FCF &amp; Valuation'!H41</f>
        <v>242</v>
      </c>
    </row>
    <row r="16" spans="2:14">
      <c r="B16" s="380" t="s">
        <v>659</v>
      </c>
      <c r="G16" s="407">
        <f>(G14-G15)/G15</f>
        <v>0.22457757519259874</v>
      </c>
    </row>
    <row r="17" spans="2:9">
      <c r="B17" s="380" t="s">
        <v>660</v>
      </c>
      <c r="G17" s="404" t="str">
        <f>IF(G16&gt;0, "BUY", "SELL")</f>
        <v>BUY</v>
      </c>
    </row>
    <row r="18" spans="2:9">
      <c r="B18" s="402"/>
      <c r="I18" s="402"/>
    </row>
    <row r="19" spans="2:9"/>
  </sheetData>
  <phoneticPr fontId="65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2280-DEF1-4DCB-BCBC-DD7E5BF91553}">
  <dimension ref="A1:H82"/>
  <sheetViews>
    <sheetView workbookViewId="0">
      <selection activeCell="B21" sqref="B21"/>
    </sheetView>
  </sheetViews>
  <sheetFormatPr baseColWidth="10" defaultColWidth="11.5" defaultRowHeight="14"/>
  <cols>
    <col min="1" max="1" width="34" style="70" customWidth="1"/>
    <col min="2" max="8" width="12.1640625" style="70" bestFit="1" customWidth="1"/>
    <col min="9" max="16384" width="11.5" style="70"/>
  </cols>
  <sheetData>
    <row r="1" spans="1:8" ht="15" thickBot="1">
      <c r="A1" s="251" t="s">
        <v>470</v>
      </c>
      <c r="B1" s="252"/>
      <c r="C1" s="252"/>
      <c r="D1" s="252"/>
      <c r="E1" s="252"/>
      <c r="F1" s="252"/>
      <c r="G1" s="252"/>
      <c r="H1" s="252"/>
    </row>
    <row r="2" spans="1:8" ht="15" thickTop="1">
      <c r="A2" s="253" t="s">
        <v>229</v>
      </c>
      <c r="B2" s="254" t="s">
        <v>230</v>
      </c>
      <c r="C2" s="255"/>
      <c r="D2" s="255"/>
      <c r="E2" s="255"/>
      <c r="F2" s="255"/>
      <c r="G2" s="255"/>
      <c r="H2" s="255"/>
    </row>
    <row r="3" spans="1:8">
      <c r="A3" s="253" t="s">
        <v>231</v>
      </c>
      <c r="B3" s="253" t="s">
        <v>232</v>
      </c>
      <c r="C3" s="255"/>
      <c r="D3" s="255"/>
      <c r="E3" s="255"/>
      <c r="F3" s="255"/>
      <c r="G3" s="255"/>
      <c r="H3" s="255"/>
    </row>
    <row r="4" spans="1:8">
      <c r="A4" s="253" t="s">
        <v>233</v>
      </c>
      <c r="B4" s="253" t="s">
        <v>232</v>
      </c>
      <c r="C4" s="255"/>
      <c r="D4" s="255"/>
      <c r="E4" s="255"/>
      <c r="F4" s="255"/>
      <c r="G4" s="255"/>
      <c r="H4" s="255"/>
    </row>
    <row r="5" spans="1:8">
      <c r="A5" s="253" t="s">
        <v>234</v>
      </c>
      <c r="B5" s="253" t="s">
        <v>235</v>
      </c>
      <c r="C5" s="255"/>
      <c r="D5" s="255"/>
      <c r="E5" s="255"/>
      <c r="F5" s="255"/>
      <c r="G5" s="255"/>
      <c r="H5" s="255"/>
    </row>
    <row r="6" spans="1:8">
      <c r="A6" s="253" t="s">
        <v>236</v>
      </c>
      <c r="B6" s="253" t="s">
        <v>237</v>
      </c>
      <c r="C6" s="255"/>
      <c r="D6" s="255"/>
      <c r="E6" s="255"/>
      <c r="F6" s="255"/>
      <c r="G6" s="255"/>
      <c r="H6" s="255"/>
    </row>
    <row r="7" spans="1:8">
      <c r="A7" s="253" t="s">
        <v>238</v>
      </c>
      <c r="B7" s="253" t="s">
        <v>239</v>
      </c>
      <c r="C7" s="255"/>
      <c r="D7" s="255"/>
      <c r="E7" s="255"/>
      <c r="F7" s="255"/>
      <c r="G7" s="255"/>
      <c r="H7" s="255"/>
    </row>
    <row r="8" spans="1:8">
      <c r="A8" s="253" t="s">
        <v>240</v>
      </c>
      <c r="B8" s="253" t="s">
        <v>241</v>
      </c>
      <c r="C8" s="255"/>
      <c r="D8" s="255"/>
      <c r="E8" s="255"/>
      <c r="F8" s="255"/>
      <c r="G8" s="255"/>
      <c r="H8" s="255"/>
    </row>
    <row r="9" spans="1:8">
      <c r="A9" s="253" t="s">
        <v>242</v>
      </c>
      <c r="B9" s="253" t="s">
        <v>243</v>
      </c>
      <c r="C9" s="255"/>
      <c r="D9" s="255"/>
      <c r="E9" s="255"/>
      <c r="F9" s="255"/>
      <c r="G9" s="255"/>
      <c r="H9" s="255"/>
    </row>
    <row r="10" spans="1:8">
      <c r="A10" s="253" t="s">
        <v>244</v>
      </c>
      <c r="B10" s="256">
        <v>45772.963513205999</v>
      </c>
      <c r="C10" s="255"/>
      <c r="D10" s="255"/>
      <c r="E10" s="255"/>
      <c r="F10" s="255"/>
      <c r="G10" s="255"/>
      <c r="H10" s="255"/>
    </row>
    <row r="11" spans="1:8">
      <c r="A11" s="257" t="s">
        <v>245</v>
      </c>
      <c r="B11" s="424" t="s">
        <v>249</v>
      </c>
      <c r="C11" s="424" t="s">
        <v>250</v>
      </c>
      <c r="D11" s="424" t="s">
        <v>251</v>
      </c>
      <c r="E11" s="424" t="s">
        <v>252</v>
      </c>
      <c r="F11" s="424" t="s">
        <v>253</v>
      </c>
      <c r="G11" s="424" t="s">
        <v>254</v>
      </c>
      <c r="H11" s="424" t="s">
        <v>255</v>
      </c>
    </row>
    <row r="12" spans="1:8">
      <c r="A12" s="258" t="s">
        <v>256</v>
      </c>
      <c r="B12" s="423">
        <v>43404</v>
      </c>
      <c r="C12" s="423">
        <v>43769</v>
      </c>
      <c r="D12" s="423">
        <v>44135</v>
      </c>
      <c r="E12" s="423">
        <v>44500</v>
      </c>
      <c r="F12" s="423">
        <v>44865</v>
      </c>
      <c r="G12" s="423">
        <v>45230</v>
      </c>
      <c r="H12" s="423">
        <v>45596</v>
      </c>
    </row>
    <row r="13" spans="1:8">
      <c r="A13" s="258" t="s">
        <v>257</v>
      </c>
      <c r="B13" s="423">
        <v>43403</v>
      </c>
      <c r="C13" s="423">
        <v>43768</v>
      </c>
      <c r="D13" s="423">
        <v>44134</v>
      </c>
      <c r="E13" s="423">
        <v>44499</v>
      </c>
      <c r="F13" s="423">
        <v>44864</v>
      </c>
      <c r="G13" s="423">
        <v>45229</v>
      </c>
      <c r="H13" s="423">
        <v>45595</v>
      </c>
    </row>
    <row r="14" spans="1:8">
      <c r="A14" s="258" t="s">
        <v>258</v>
      </c>
      <c r="B14" s="422" t="s">
        <v>259</v>
      </c>
      <c r="C14" s="422" t="s">
        <v>259</v>
      </c>
      <c r="D14" s="422" t="s">
        <v>259</v>
      </c>
      <c r="E14" s="422" t="s">
        <v>259</v>
      </c>
      <c r="F14" s="422" t="s">
        <v>259</v>
      </c>
      <c r="G14" s="422" t="s">
        <v>259</v>
      </c>
      <c r="H14" s="422" t="s">
        <v>259</v>
      </c>
    </row>
    <row r="15" spans="1:8" ht="22.5" customHeight="1">
      <c r="A15" s="258" t="s">
        <v>260</v>
      </c>
      <c r="B15" s="422" t="s">
        <v>471</v>
      </c>
      <c r="C15" s="422" t="s">
        <v>471</v>
      </c>
      <c r="D15" s="422" t="s">
        <v>471</v>
      </c>
      <c r="E15" s="422" t="s">
        <v>471</v>
      </c>
      <c r="F15" s="422" t="s">
        <v>471</v>
      </c>
      <c r="G15" s="422" t="s">
        <v>471</v>
      </c>
      <c r="H15" s="422" t="s">
        <v>471</v>
      </c>
    </row>
    <row r="17" spans="1:8" ht="28">
      <c r="A17" s="259" t="s">
        <v>472</v>
      </c>
      <c r="B17" s="257"/>
      <c r="C17" s="257"/>
      <c r="D17" s="257"/>
      <c r="E17" s="257"/>
      <c r="F17" s="257"/>
      <c r="G17" s="257"/>
      <c r="H17" s="257"/>
    </row>
    <row r="18" spans="1:8">
      <c r="A18" s="259" t="s">
        <v>263</v>
      </c>
      <c r="B18" s="260" t="s">
        <v>267</v>
      </c>
      <c r="C18" s="260" t="s">
        <v>268</v>
      </c>
      <c r="D18" s="260" t="s">
        <v>269</v>
      </c>
      <c r="E18" s="260" t="s">
        <v>270</v>
      </c>
      <c r="F18" s="260" t="s">
        <v>271</v>
      </c>
      <c r="G18" s="260" t="s">
        <v>272</v>
      </c>
      <c r="H18" s="260" t="s">
        <v>273</v>
      </c>
    </row>
    <row r="19" spans="1:8">
      <c r="A19" s="261" t="s">
        <v>473</v>
      </c>
      <c r="B19" s="262"/>
      <c r="C19" s="262"/>
      <c r="D19" s="262"/>
      <c r="E19" s="262"/>
      <c r="F19" s="262"/>
      <c r="G19" s="262"/>
      <c r="H19" s="262"/>
    </row>
    <row r="20" spans="1:8" ht="28">
      <c r="A20" s="263" t="s">
        <v>474</v>
      </c>
      <c r="B20" s="264">
        <v>285.69</v>
      </c>
      <c r="C20" s="264">
        <v>359.74</v>
      </c>
      <c r="D20" s="264">
        <v>335.86</v>
      </c>
      <c r="E20" s="264">
        <v>329.76</v>
      </c>
      <c r="F20" s="264">
        <v>390.62</v>
      </c>
      <c r="G20" s="264">
        <v>444.38</v>
      </c>
      <c r="H20" s="264">
        <v>559.09</v>
      </c>
    </row>
    <row r="21" spans="1:8" ht="28">
      <c r="A21" s="263" t="s">
        <v>475</v>
      </c>
      <c r="B21" s="265">
        <v>80.52</v>
      </c>
      <c r="C21" s="265">
        <v>96.49</v>
      </c>
      <c r="D21" s="264">
        <v>102.61</v>
      </c>
      <c r="E21" s="264">
        <v>100.02</v>
      </c>
      <c r="F21" s="264">
        <v>123.23</v>
      </c>
      <c r="G21" s="264">
        <v>108.2</v>
      </c>
      <c r="H21" s="264">
        <v>234.66</v>
      </c>
    </row>
    <row r="22" spans="1:8" ht="42">
      <c r="A22" s="266" t="s">
        <v>476</v>
      </c>
      <c r="B22" s="265">
        <v>7.02</v>
      </c>
      <c r="C22" s="265">
        <v>9.0500000000000007</v>
      </c>
      <c r="D22" s="265">
        <v>9.92</v>
      </c>
      <c r="E22" s="265">
        <v>13.58</v>
      </c>
      <c r="F22" s="265">
        <v>5.38</v>
      </c>
      <c r="G22" s="267">
        <v>-10.79</v>
      </c>
      <c r="H22" s="265">
        <v>55.05</v>
      </c>
    </row>
    <row r="23" spans="1:8" ht="42">
      <c r="A23" s="266" t="s">
        <v>477</v>
      </c>
      <c r="B23" s="265">
        <v>77.19</v>
      </c>
      <c r="C23" s="265">
        <v>83.5</v>
      </c>
      <c r="D23" s="265">
        <v>88.56</v>
      </c>
      <c r="E23" s="265">
        <v>93.02</v>
      </c>
      <c r="F23" s="265">
        <v>96.33</v>
      </c>
      <c r="G23" s="264">
        <v>130.04</v>
      </c>
      <c r="H23" s="264">
        <v>182.83</v>
      </c>
    </row>
    <row r="24" spans="1:8" ht="42">
      <c r="A24" s="268" t="s">
        <v>478</v>
      </c>
      <c r="B24" s="265">
        <v>77.19</v>
      </c>
      <c r="C24" s="265">
        <v>83.5</v>
      </c>
      <c r="D24" s="265">
        <v>88.56</v>
      </c>
      <c r="E24" s="265">
        <v>93.02</v>
      </c>
      <c r="F24" s="265">
        <v>96.33</v>
      </c>
      <c r="G24" s="264">
        <v>130.04</v>
      </c>
      <c r="H24" s="264">
        <v>175.33</v>
      </c>
    </row>
    <row r="25" spans="1:8" ht="42">
      <c r="A25" s="268" t="s">
        <v>479</v>
      </c>
      <c r="B25" s="269"/>
      <c r="C25" s="269"/>
      <c r="D25" s="269"/>
      <c r="E25" s="269"/>
      <c r="F25" s="269"/>
      <c r="G25" s="269"/>
      <c r="H25" s="265">
        <v>7.5</v>
      </c>
    </row>
    <row r="26" spans="1:8" ht="42">
      <c r="A26" s="266" t="s">
        <v>480</v>
      </c>
      <c r="B26" s="267">
        <v>-12.98</v>
      </c>
      <c r="C26" s="267">
        <v>-6.39</v>
      </c>
      <c r="D26" s="267">
        <v>-6</v>
      </c>
      <c r="E26" s="267">
        <v>-15.63</v>
      </c>
      <c r="F26" s="265">
        <v>8.8800000000000008</v>
      </c>
      <c r="G26" s="267">
        <v>-26.53</v>
      </c>
      <c r="H26" s="267">
        <v>-22</v>
      </c>
    </row>
    <row r="27" spans="1:8" ht="28">
      <c r="A27" s="266" t="s">
        <v>481</v>
      </c>
      <c r="B27" s="265">
        <v>9.2799999999999994</v>
      </c>
      <c r="C27" s="265">
        <v>10.33</v>
      </c>
      <c r="D27" s="265">
        <v>10.130000000000001</v>
      </c>
      <c r="E27" s="265">
        <v>9.06</v>
      </c>
      <c r="F27" s="265">
        <v>12.65</v>
      </c>
      <c r="G27" s="265">
        <v>15.48</v>
      </c>
      <c r="H27" s="265">
        <v>18.77</v>
      </c>
    </row>
    <row r="28" spans="1:8" ht="28">
      <c r="A28" s="263" t="s">
        <v>482</v>
      </c>
      <c r="B28" s="264">
        <v>366.2</v>
      </c>
      <c r="C28" s="264">
        <v>456.23</v>
      </c>
      <c r="D28" s="264">
        <v>438.47</v>
      </c>
      <c r="E28" s="264">
        <v>429.78</v>
      </c>
      <c r="F28" s="264">
        <v>513.86</v>
      </c>
      <c r="G28" s="264">
        <v>552.58000000000004</v>
      </c>
      <c r="H28" s="264">
        <v>793.74</v>
      </c>
    </row>
    <row r="29" spans="1:8" ht="28">
      <c r="A29" s="263" t="s">
        <v>483</v>
      </c>
      <c r="B29" s="267">
        <v>-37.72</v>
      </c>
      <c r="C29" s="267">
        <v>-18.850000000000001</v>
      </c>
      <c r="D29" s="267">
        <v>-29.34</v>
      </c>
      <c r="E29" s="265">
        <v>14.3</v>
      </c>
      <c r="F29" s="267">
        <v>-46</v>
      </c>
      <c r="G29" s="270">
        <v>-103.85</v>
      </c>
      <c r="H29" s="270">
        <v>-121.37</v>
      </c>
    </row>
    <row r="30" spans="1:8" ht="28">
      <c r="A30" s="266" t="s">
        <v>484</v>
      </c>
      <c r="B30" s="267">
        <v>-28.57</v>
      </c>
      <c r="C30" s="267">
        <v>-17.39</v>
      </c>
      <c r="D30" s="265">
        <v>55.12</v>
      </c>
      <c r="E30" s="267">
        <v>-26.92</v>
      </c>
      <c r="F30" s="267">
        <v>-33.42</v>
      </c>
      <c r="G30" s="267">
        <v>-77.239999999999995</v>
      </c>
      <c r="H30" s="267">
        <v>-19.52</v>
      </c>
    </row>
    <row r="31" spans="1:8" ht="28">
      <c r="A31" s="266" t="s">
        <v>485</v>
      </c>
      <c r="B31" s="267">
        <v>-49.45</v>
      </c>
      <c r="C31" s="267">
        <v>-30.08</v>
      </c>
      <c r="D31" s="267">
        <v>-28.31</v>
      </c>
      <c r="E31" s="267">
        <v>-10.119999999999999</v>
      </c>
      <c r="F31" s="267">
        <v>-89.19</v>
      </c>
      <c r="G31" s="270">
        <v>-124.78</v>
      </c>
      <c r="H31" s="270">
        <v>-132.93</v>
      </c>
    </row>
    <row r="32" spans="1:8" ht="28">
      <c r="A32" s="266" t="s">
        <v>486</v>
      </c>
      <c r="B32" s="265">
        <v>0.4</v>
      </c>
      <c r="C32" s="265">
        <v>0.61</v>
      </c>
      <c r="D32" s="265">
        <v>2.4700000000000002</v>
      </c>
      <c r="E32" s="267">
        <v>-4.79</v>
      </c>
      <c r="F32" s="267">
        <v>-10.08</v>
      </c>
      <c r="G32" s="265">
        <v>5.6</v>
      </c>
      <c r="H32" s="267">
        <v>-23.03</v>
      </c>
    </row>
    <row r="33" spans="1:8" ht="28">
      <c r="A33" s="266" t="s">
        <v>487</v>
      </c>
      <c r="B33" s="265">
        <v>17.399999999999999</v>
      </c>
      <c r="C33" s="267">
        <v>-3.85</v>
      </c>
      <c r="D33" s="267">
        <v>-30.33</v>
      </c>
      <c r="E33" s="265">
        <v>6.91</v>
      </c>
      <c r="F33" s="265">
        <v>25.57</v>
      </c>
      <c r="G33" s="265">
        <v>10.98</v>
      </c>
      <c r="H33" s="267">
        <v>-9.82</v>
      </c>
    </row>
    <row r="34" spans="1:8" ht="28">
      <c r="A34" s="266" t="s">
        <v>488</v>
      </c>
      <c r="B34" s="265">
        <v>22.12</v>
      </c>
      <c r="C34" s="265">
        <v>17.149999999999999</v>
      </c>
      <c r="D34" s="267">
        <v>-37.9</v>
      </c>
      <c r="E34" s="265">
        <v>33.630000000000003</v>
      </c>
      <c r="F34" s="265">
        <v>34.119999999999997</v>
      </c>
      <c r="G34" s="265">
        <v>72.59</v>
      </c>
      <c r="H34" s="265">
        <v>22.1</v>
      </c>
    </row>
    <row r="35" spans="1:8" ht="28">
      <c r="A35" s="266" t="s">
        <v>489</v>
      </c>
      <c r="B35" s="267">
        <v>-12.53</v>
      </c>
      <c r="C35" s="265">
        <v>1.3</v>
      </c>
      <c r="D35" s="267">
        <v>-9.59</v>
      </c>
      <c r="E35" s="265">
        <v>2.82</v>
      </c>
      <c r="F35" s="265">
        <v>11.6</v>
      </c>
      <c r="G35" s="267">
        <v>-4.5</v>
      </c>
      <c r="H35" s="265">
        <v>20.22</v>
      </c>
    </row>
    <row r="36" spans="1:8" ht="42">
      <c r="A36" s="266" t="s">
        <v>490</v>
      </c>
      <c r="B36" s="265">
        <v>12.91</v>
      </c>
      <c r="C36" s="265">
        <v>13.41</v>
      </c>
      <c r="D36" s="265">
        <v>19.2</v>
      </c>
      <c r="E36" s="265">
        <v>12.78</v>
      </c>
      <c r="F36" s="265">
        <v>15.4</v>
      </c>
      <c r="G36" s="265">
        <v>13.51</v>
      </c>
      <c r="H36" s="265">
        <v>21.62</v>
      </c>
    </row>
    <row r="37" spans="1:8" ht="28">
      <c r="A37" s="271" t="s">
        <v>491</v>
      </c>
      <c r="B37" s="272">
        <v>328.49</v>
      </c>
      <c r="C37" s="272">
        <v>437.38</v>
      </c>
      <c r="D37" s="272">
        <v>409.13</v>
      </c>
      <c r="E37" s="272">
        <v>444.08</v>
      </c>
      <c r="F37" s="272">
        <v>467.86</v>
      </c>
      <c r="G37" s="272">
        <v>448.74</v>
      </c>
      <c r="H37" s="272">
        <v>672.37</v>
      </c>
    </row>
    <row r="38" spans="1:8">
      <c r="A38" s="261" t="s">
        <v>492</v>
      </c>
      <c r="B38" s="262"/>
      <c r="C38" s="262"/>
      <c r="D38" s="262"/>
      <c r="E38" s="262"/>
      <c r="F38" s="262"/>
      <c r="G38" s="262"/>
      <c r="H38" s="262"/>
    </row>
    <row r="39" spans="1:8" ht="28">
      <c r="A39" s="263" t="s">
        <v>493</v>
      </c>
      <c r="B39" s="265">
        <v>41.87</v>
      </c>
      <c r="C39" s="265">
        <v>28.94</v>
      </c>
      <c r="D39" s="265">
        <v>22.94</v>
      </c>
      <c r="E39" s="265">
        <v>36.18</v>
      </c>
      <c r="F39" s="262"/>
      <c r="G39" s="265">
        <v>49.43</v>
      </c>
      <c r="H39" s="265">
        <v>58.26</v>
      </c>
    </row>
    <row r="40" spans="1:8" ht="28">
      <c r="A40" s="266" t="s">
        <v>494</v>
      </c>
      <c r="B40" s="265">
        <v>41.87</v>
      </c>
      <c r="C40" s="265">
        <v>28.94</v>
      </c>
      <c r="D40" s="265">
        <v>22.94</v>
      </c>
      <c r="E40" s="265">
        <v>36.18</v>
      </c>
      <c r="F40" s="265">
        <v>31.98</v>
      </c>
      <c r="G40" s="265">
        <v>49.43</v>
      </c>
      <c r="H40" s="265">
        <v>58.26</v>
      </c>
    </row>
    <row r="41" spans="1:8" ht="28">
      <c r="A41" s="268" t="s">
        <v>495</v>
      </c>
      <c r="B41" s="265">
        <v>41.87</v>
      </c>
      <c r="C41" s="265">
        <v>28.94</v>
      </c>
      <c r="D41" s="265">
        <v>22.94</v>
      </c>
      <c r="E41" s="265">
        <v>36.18</v>
      </c>
      <c r="F41" s="265">
        <v>31.98</v>
      </c>
      <c r="G41" s="265">
        <v>49.43</v>
      </c>
      <c r="H41" s="265">
        <v>58.26</v>
      </c>
    </row>
    <row r="42" spans="1:8">
      <c r="A42" s="266" t="s">
        <v>496</v>
      </c>
      <c r="B42" s="265">
        <v>41.87</v>
      </c>
      <c r="C42" s="265">
        <v>28.94</v>
      </c>
      <c r="D42" s="265">
        <v>22.94</v>
      </c>
      <c r="E42" s="265">
        <v>36.18</v>
      </c>
      <c r="F42" s="265">
        <v>31.98</v>
      </c>
      <c r="G42" s="265">
        <v>49.43</v>
      </c>
      <c r="H42" s="265">
        <v>58.26</v>
      </c>
    </row>
    <row r="43" spans="1:8" ht="42">
      <c r="A43" s="263" t="s">
        <v>497</v>
      </c>
      <c r="B43" s="267">
        <v>-59.77</v>
      </c>
      <c r="C43" s="270">
        <v>-240.84</v>
      </c>
      <c r="D43" s="270">
        <v>-163.94</v>
      </c>
      <c r="E43" s="270">
        <v>-136.5</v>
      </c>
      <c r="F43" s="270">
        <v>-347.31</v>
      </c>
      <c r="G43" s="270">
        <v>-2421.79</v>
      </c>
      <c r="H43" s="270">
        <v>-219.29</v>
      </c>
    </row>
    <row r="44" spans="1:8">
      <c r="A44" s="266" t="s">
        <v>498</v>
      </c>
      <c r="B44" s="265">
        <v>59.78</v>
      </c>
      <c r="C44" s="264">
        <v>240.84</v>
      </c>
      <c r="D44" s="264">
        <v>163.94</v>
      </c>
      <c r="E44" s="264">
        <v>136.5</v>
      </c>
      <c r="F44" s="264">
        <v>347.31</v>
      </c>
      <c r="G44" s="264">
        <v>2421.79</v>
      </c>
      <c r="H44" s="264">
        <v>219.29</v>
      </c>
    </row>
    <row r="45" spans="1:8" ht="28">
      <c r="A45" s="263" t="s">
        <v>499</v>
      </c>
      <c r="B45" s="267">
        <v>-11.5</v>
      </c>
      <c r="C45" s="267">
        <v>-13.7</v>
      </c>
      <c r="D45" s="267">
        <v>-15.9</v>
      </c>
      <c r="E45" s="267">
        <v>-14</v>
      </c>
      <c r="F45" s="267">
        <v>-15.3</v>
      </c>
      <c r="G45" s="267">
        <v>-18.89</v>
      </c>
      <c r="H45" s="267">
        <v>-19.91</v>
      </c>
    </row>
    <row r="46" spans="1:8" ht="42">
      <c r="A46" s="266" t="s">
        <v>500</v>
      </c>
      <c r="B46" s="267">
        <v>-11.5</v>
      </c>
      <c r="C46" s="267">
        <v>-13.7</v>
      </c>
      <c r="D46" s="267">
        <v>-15.9</v>
      </c>
      <c r="E46" s="267">
        <v>-14</v>
      </c>
      <c r="F46" s="267">
        <v>-15.3</v>
      </c>
      <c r="G46" s="267">
        <v>-18.89</v>
      </c>
      <c r="H46" s="267">
        <v>-19.91</v>
      </c>
    </row>
    <row r="47" spans="1:8" ht="28">
      <c r="A47" s="263" t="s">
        <v>501</v>
      </c>
      <c r="B47" s="267">
        <v>-0.36</v>
      </c>
      <c r="C47" s="265">
        <v>2.83</v>
      </c>
      <c r="D47" s="265">
        <v>3.74</v>
      </c>
      <c r="E47" s="265">
        <v>3.23</v>
      </c>
      <c r="F47" s="267">
        <v>-1.24</v>
      </c>
      <c r="G47" s="265">
        <v>5.65</v>
      </c>
      <c r="H47" s="265">
        <v>4.26</v>
      </c>
    </row>
    <row r="48" spans="1:8" ht="28">
      <c r="A48" s="271" t="s">
        <v>502</v>
      </c>
      <c r="B48" s="273">
        <v>-113.51</v>
      </c>
      <c r="C48" s="273">
        <v>-280.64999999999998</v>
      </c>
      <c r="D48" s="273">
        <v>-199.04</v>
      </c>
      <c r="E48" s="273">
        <v>-183.45</v>
      </c>
      <c r="F48" s="273">
        <v>-395.83</v>
      </c>
      <c r="G48" s="273">
        <v>-2484.4699999999998</v>
      </c>
      <c r="H48" s="273">
        <v>-293.2</v>
      </c>
    </row>
    <row r="49" spans="1:8">
      <c r="A49" s="261" t="s">
        <v>503</v>
      </c>
      <c r="B49" s="262"/>
      <c r="C49" s="262"/>
      <c r="D49" s="262"/>
      <c r="E49" s="262"/>
      <c r="F49" s="262"/>
      <c r="G49" s="262"/>
      <c r="H49" s="262"/>
    </row>
    <row r="50" spans="1:8" ht="28">
      <c r="A50" s="263" t="s">
        <v>504</v>
      </c>
      <c r="B50" s="265">
        <v>15.36</v>
      </c>
      <c r="C50" s="265">
        <v>18.690000000000001</v>
      </c>
      <c r="D50" s="265">
        <v>21.55</v>
      </c>
      <c r="E50" s="265">
        <v>23</v>
      </c>
      <c r="F50" s="265">
        <v>24.47</v>
      </c>
      <c r="G50" s="265">
        <v>27.37</v>
      </c>
      <c r="H50" s="265">
        <v>29.07</v>
      </c>
    </row>
    <row r="51" spans="1:8">
      <c r="A51" s="266" t="s">
        <v>505</v>
      </c>
      <c r="B51" s="265">
        <v>15.36</v>
      </c>
      <c r="C51" s="265">
        <v>18.690000000000001</v>
      </c>
      <c r="D51" s="265">
        <v>21.55</v>
      </c>
      <c r="E51" s="265">
        <v>23</v>
      </c>
      <c r="F51" s="265">
        <v>24.47</v>
      </c>
      <c r="G51" s="265">
        <v>27.37</v>
      </c>
      <c r="H51" s="265">
        <v>29.07</v>
      </c>
    </row>
    <row r="52" spans="1:8" ht="28">
      <c r="A52" s="263" t="s">
        <v>506</v>
      </c>
      <c r="B52" s="267">
        <v>-20.95</v>
      </c>
      <c r="C52" s="267">
        <v>-55.47</v>
      </c>
      <c r="D52" s="267">
        <v>-5.16</v>
      </c>
      <c r="E52" s="265">
        <v>1.55</v>
      </c>
      <c r="F52" s="267">
        <v>-23.59</v>
      </c>
      <c r="G52" s="267">
        <v>-8.1300000000000008</v>
      </c>
      <c r="H52" s="267">
        <v>-21.96</v>
      </c>
    </row>
    <row r="53" spans="1:8">
      <c r="A53" s="266" t="s">
        <v>507</v>
      </c>
      <c r="B53" s="267">
        <v>-20.95</v>
      </c>
      <c r="C53" s="267">
        <v>-55.47</v>
      </c>
      <c r="D53" s="267">
        <v>-5.16</v>
      </c>
      <c r="E53" s="265">
        <v>1.55</v>
      </c>
      <c r="F53" s="267">
        <v>-23.59</v>
      </c>
      <c r="G53" s="267">
        <v>-8.1300000000000008</v>
      </c>
      <c r="H53" s="267">
        <v>-21.96</v>
      </c>
    </row>
    <row r="54" spans="1:8" ht="28">
      <c r="A54" s="263" t="s">
        <v>508</v>
      </c>
      <c r="B54" s="269"/>
      <c r="C54" s="269"/>
      <c r="D54" s="265">
        <v>6.85</v>
      </c>
      <c r="E54" s="267">
        <v>-1.8</v>
      </c>
      <c r="F54" s="267">
        <v>-8.73</v>
      </c>
      <c r="G54" s="267">
        <v>-2.73</v>
      </c>
      <c r="H54" s="267">
        <v>-26.57</v>
      </c>
    </row>
    <row r="55" spans="1:8" ht="42">
      <c r="A55" s="263" t="s">
        <v>509</v>
      </c>
      <c r="B55" s="270">
        <v>-148</v>
      </c>
      <c r="C55" s="265">
        <v>30</v>
      </c>
      <c r="D55" s="264">
        <v>177</v>
      </c>
      <c r="E55" s="270">
        <v>-505</v>
      </c>
      <c r="F55" s="265">
        <v>50</v>
      </c>
      <c r="G55" s="264">
        <v>2164.4499999999998</v>
      </c>
      <c r="H55" s="270">
        <v>-248.92</v>
      </c>
    </row>
    <row r="56" spans="1:8" ht="28">
      <c r="A56" s="266" t="s">
        <v>510</v>
      </c>
      <c r="B56" s="270">
        <v>-148</v>
      </c>
      <c r="C56" s="265">
        <v>30</v>
      </c>
      <c r="D56" s="264">
        <v>177</v>
      </c>
      <c r="E56" s="270">
        <v>-505</v>
      </c>
      <c r="F56" s="269"/>
      <c r="G56" s="269"/>
      <c r="H56" s="269"/>
    </row>
    <row r="57" spans="1:8" ht="28">
      <c r="A57" s="268" t="s">
        <v>511</v>
      </c>
      <c r="B57" s="265">
        <v>56</v>
      </c>
      <c r="C57" s="264">
        <v>313</v>
      </c>
      <c r="D57" s="264">
        <v>245</v>
      </c>
      <c r="E57" s="269"/>
      <c r="F57" s="269"/>
      <c r="G57" s="269"/>
      <c r="H57" s="269"/>
    </row>
    <row r="58" spans="1:8" ht="28">
      <c r="A58" s="268" t="s">
        <v>512</v>
      </c>
      <c r="B58" s="264">
        <v>204</v>
      </c>
      <c r="C58" s="264">
        <v>283</v>
      </c>
      <c r="D58" s="265">
        <v>68</v>
      </c>
      <c r="E58" s="264">
        <v>505</v>
      </c>
      <c r="F58" s="269"/>
      <c r="G58" s="269"/>
      <c r="H58" s="269"/>
    </row>
    <row r="59" spans="1:8" ht="28">
      <c r="A59" s="266" t="s">
        <v>513</v>
      </c>
      <c r="B59" s="269"/>
      <c r="C59" s="269"/>
      <c r="D59" s="269"/>
      <c r="E59" s="269"/>
      <c r="F59" s="269"/>
      <c r="G59" s="269"/>
      <c r="H59" s="267">
        <v>-13.92</v>
      </c>
    </row>
    <row r="60" spans="1:8" ht="28">
      <c r="A60" s="268" t="s">
        <v>514</v>
      </c>
      <c r="B60" s="269"/>
      <c r="C60" s="269"/>
      <c r="D60" s="269"/>
      <c r="E60" s="269"/>
      <c r="F60" s="269"/>
      <c r="G60" s="269"/>
      <c r="H60" s="265">
        <v>13.92</v>
      </c>
    </row>
    <row r="61" spans="1:8" ht="28">
      <c r="A61" s="266" t="s">
        <v>515</v>
      </c>
      <c r="B61" s="269"/>
      <c r="C61" s="269"/>
      <c r="D61" s="269"/>
      <c r="E61" s="269"/>
      <c r="F61" s="265">
        <v>50</v>
      </c>
      <c r="G61" s="264">
        <v>2164.4499999999998</v>
      </c>
      <c r="H61" s="270">
        <v>-235</v>
      </c>
    </row>
    <row r="62" spans="1:8" ht="28">
      <c r="A62" s="268" t="s">
        <v>516</v>
      </c>
      <c r="B62" s="269"/>
      <c r="C62" s="269"/>
      <c r="D62" s="269"/>
      <c r="E62" s="269"/>
      <c r="F62" s="264">
        <v>262</v>
      </c>
      <c r="G62" s="264">
        <v>3153.45</v>
      </c>
      <c r="H62" s="264">
        <v>130</v>
      </c>
    </row>
    <row r="63" spans="1:8" ht="28">
      <c r="A63" s="268" t="s">
        <v>517</v>
      </c>
      <c r="B63" s="269"/>
      <c r="C63" s="269"/>
      <c r="D63" s="269"/>
      <c r="E63" s="269"/>
      <c r="F63" s="264">
        <v>212</v>
      </c>
      <c r="G63" s="264">
        <v>989</v>
      </c>
      <c r="H63" s="264">
        <v>365</v>
      </c>
    </row>
    <row r="64" spans="1:8" ht="28">
      <c r="A64" s="263" t="s">
        <v>518</v>
      </c>
      <c r="B64" s="267">
        <v>-23.22</v>
      </c>
      <c r="C64" s="270">
        <v>-115.56</v>
      </c>
      <c r="D64" s="267">
        <v>-19.39</v>
      </c>
      <c r="E64" s="267">
        <v>-30.72</v>
      </c>
      <c r="F64" s="267">
        <v>-27.04</v>
      </c>
      <c r="G64" s="267">
        <v>-61.17</v>
      </c>
      <c r="H64" s="267">
        <v>-62.87</v>
      </c>
    </row>
    <row r="65" spans="1:8" ht="28">
      <c r="A65" s="271" t="s">
        <v>519</v>
      </c>
      <c r="B65" s="273">
        <v>-207.53</v>
      </c>
      <c r="C65" s="273">
        <v>-159.72</v>
      </c>
      <c r="D65" s="272">
        <v>137.74</v>
      </c>
      <c r="E65" s="273">
        <v>-558.97</v>
      </c>
      <c r="F65" s="274">
        <v>-33.83</v>
      </c>
      <c r="G65" s="272">
        <v>2065.0500000000002</v>
      </c>
      <c r="H65" s="273">
        <v>-389.39</v>
      </c>
    </row>
    <row r="66" spans="1:8">
      <c r="A66" s="261" t="s">
        <v>520</v>
      </c>
      <c r="B66" s="262"/>
      <c r="C66" s="262"/>
      <c r="D66" s="262"/>
      <c r="E66" s="262"/>
      <c r="F66" s="262"/>
      <c r="G66" s="262"/>
      <c r="H66" s="262"/>
    </row>
    <row r="67" spans="1:8">
      <c r="A67" s="263" t="s">
        <v>521</v>
      </c>
      <c r="B67" s="265">
        <v>0.09</v>
      </c>
      <c r="C67" s="265">
        <v>0.39</v>
      </c>
      <c r="D67" s="265">
        <v>2.0299999999999998</v>
      </c>
      <c r="E67" s="267">
        <v>-0.22</v>
      </c>
      <c r="F67" s="267">
        <v>-6.99</v>
      </c>
      <c r="G67" s="265">
        <v>2.23</v>
      </c>
      <c r="H67" s="265">
        <v>1.28</v>
      </c>
    </row>
    <row r="68" spans="1:8">
      <c r="A68" s="261" t="s">
        <v>522</v>
      </c>
      <c r="B68" s="262"/>
      <c r="C68" s="262"/>
      <c r="D68" s="262"/>
      <c r="E68" s="262"/>
      <c r="F68" s="262"/>
      <c r="G68" s="262"/>
      <c r="H68" s="262"/>
    </row>
    <row r="69" spans="1:8">
      <c r="A69" s="271" t="s">
        <v>523</v>
      </c>
      <c r="B69" s="275">
        <v>7.53</v>
      </c>
      <c r="C69" s="274">
        <v>-2.6</v>
      </c>
      <c r="D69" s="272">
        <v>349.85</v>
      </c>
      <c r="E69" s="273">
        <v>-298.55</v>
      </c>
      <c r="F69" s="275">
        <v>31.21</v>
      </c>
      <c r="G69" s="275">
        <v>31.54</v>
      </c>
      <c r="H69" s="274">
        <v>-8.94</v>
      </c>
    </row>
    <row r="70" spans="1:8" ht="28">
      <c r="A70" s="266" t="s">
        <v>524</v>
      </c>
      <c r="B70" s="265">
        <v>7.53</v>
      </c>
      <c r="C70" s="267">
        <v>-2.6</v>
      </c>
      <c r="D70" s="264">
        <v>349.85</v>
      </c>
      <c r="E70" s="270">
        <v>-298.55</v>
      </c>
      <c r="F70" s="265">
        <v>31.21</v>
      </c>
      <c r="G70" s="265">
        <v>31.54</v>
      </c>
      <c r="H70" s="267">
        <v>-8.94</v>
      </c>
    </row>
    <row r="71" spans="1:8">
      <c r="A71" s="263" t="s">
        <v>525</v>
      </c>
      <c r="B71" s="265">
        <v>52.07</v>
      </c>
      <c r="C71" s="265">
        <v>59.6</v>
      </c>
      <c r="D71" s="265">
        <v>57</v>
      </c>
      <c r="E71" s="264">
        <v>406.85</v>
      </c>
      <c r="F71" s="264">
        <v>108.3</v>
      </c>
      <c r="G71" s="264">
        <v>139.5</v>
      </c>
      <c r="H71" s="264">
        <v>171.05</v>
      </c>
    </row>
    <row r="72" spans="1:8">
      <c r="A72" s="263" t="s">
        <v>526</v>
      </c>
      <c r="B72" s="265">
        <v>59.6</v>
      </c>
      <c r="C72" s="265">
        <v>57</v>
      </c>
      <c r="D72" s="264">
        <v>406.85</v>
      </c>
      <c r="E72" s="264">
        <v>108.3</v>
      </c>
      <c r="F72" s="264">
        <v>139.5</v>
      </c>
      <c r="G72" s="264">
        <v>171.05</v>
      </c>
      <c r="H72" s="264">
        <v>162.1</v>
      </c>
    </row>
    <row r="73" spans="1:8">
      <c r="A73" s="261" t="s">
        <v>527</v>
      </c>
      <c r="B73" s="262"/>
      <c r="C73" s="262"/>
      <c r="D73" s="262"/>
      <c r="E73" s="262"/>
      <c r="F73" s="262"/>
      <c r="G73" s="262"/>
      <c r="H73" s="262"/>
    </row>
    <row r="74" spans="1:8" ht="28">
      <c r="A74" s="263" t="s">
        <v>528</v>
      </c>
      <c r="B74" s="265">
        <v>90.49</v>
      </c>
      <c r="C74" s="265">
        <v>82.21</v>
      </c>
      <c r="D74" s="265">
        <v>42.55</v>
      </c>
      <c r="E74" s="265">
        <v>67.66</v>
      </c>
      <c r="F74" s="265">
        <v>81</v>
      </c>
      <c r="G74" s="264">
        <v>138.66999999999999</v>
      </c>
      <c r="H74" s="264">
        <v>114.85</v>
      </c>
    </row>
    <row r="75" spans="1:8" ht="28">
      <c r="A75" s="263" t="s">
        <v>529</v>
      </c>
      <c r="B75" s="265">
        <v>19.23</v>
      </c>
      <c r="C75" s="265">
        <v>22.16</v>
      </c>
      <c r="D75" s="265">
        <v>13.42</v>
      </c>
      <c r="E75" s="265">
        <v>7.36</v>
      </c>
      <c r="F75" s="265">
        <v>6.04</v>
      </c>
      <c r="G75" s="265">
        <v>54.14</v>
      </c>
      <c r="H75" s="264">
        <v>148.9</v>
      </c>
    </row>
    <row r="76" spans="1:8" ht="28">
      <c r="A76" s="263" t="s">
        <v>530</v>
      </c>
      <c r="B76" s="264">
        <v>366.2</v>
      </c>
      <c r="C76" s="264">
        <v>456.23</v>
      </c>
      <c r="D76" s="264">
        <v>438.47</v>
      </c>
      <c r="E76" s="264">
        <v>429.78</v>
      </c>
      <c r="F76" s="264">
        <v>513.86</v>
      </c>
      <c r="G76" s="264">
        <v>552.58000000000004</v>
      </c>
      <c r="H76" s="264">
        <v>793.74</v>
      </c>
    </row>
    <row r="77" spans="1:8" ht="28">
      <c r="A77" s="263" t="s">
        <v>531</v>
      </c>
      <c r="B77" s="269"/>
      <c r="C77" s="265">
        <v>11.58</v>
      </c>
      <c r="D77" s="267">
        <v>-16.399999999999999</v>
      </c>
      <c r="E77" s="265">
        <v>0.38</v>
      </c>
      <c r="F77" s="267">
        <v>-4.1500000000000004</v>
      </c>
      <c r="G77" s="267">
        <v>-11.64</v>
      </c>
      <c r="H77" s="265">
        <v>1.29</v>
      </c>
    </row>
    <row r="78" spans="1:8" ht="28">
      <c r="A78" s="263" t="s">
        <v>532</v>
      </c>
      <c r="B78" s="265">
        <v>77.19</v>
      </c>
      <c r="C78" s="265">
        <v>83.5</v>
      </c>
      <c r="D78" s="265">
        <v>88.56</v>
      </c>
      <c r="E78" s="265">
        <v>93.02</v>
      </c>
      <c r="F78" s="265">
        <v>96.33</v>
      </c>
      <c r="G78" s="264">
        <v>130.04</v>
      </c>
      <c r="H78" s="264">
        <v>175.33</v>
      </c>
    </row>
    <row r="79" spans="1:8">
      <c r="A79" s="263" t="s">
        <v>533</v>
      </c>
      <c r="B79" s="264">
        <v>138.62</v>
      </c>
      <c r="C79" s="264">
        <v>438.44</v>
      </c>
      <c r="D79" s="264">
        <v>563.17999999999995</v>
      </c>
      <c r="E79" s="267">
        <v>-97.1</v>
      </c>
      <c r="F79" s="264">
        <v>485.87</v>
      </c>
      <c r="G79" s="264">
        <v>2563.75</v>
      </c>
      <c r="H79" s="264">
        <v>365.19</v>
      </c>
    </row>
    <row r="80" spans="1:8">
      <c r="A80" s="263" t="s">
        <v>534</v>
      </c>
      <c r="B80" s="264">
        <v>271.25</v>
      </c>
      <c r="C80" s="264">
        <v>389.75</v>
      </c>
      <c r="D80" s="264">
        <v>364.63</v>
      </c>
      <c r="E80" s="264">
        <v>384.9</v>
      </c>
      <c r="F80" s="264">
        <v>411.41</v>
      </c>
      <c r="G80" s="264">
        <v>371.93</v>
      </c>
      <c r="H80" s="264">
        <v>585.04</v>
      </c>
    </row>
    <row r="81" spans="1:8">
      <c r="A81" s="263" t="s">
        <v>535</v>
      </c>
      <c r="B81" s="264">
        <v>286.62</v>
      </c>
      <c r="C81" s="264">
        <v>408.44</v>
      </c>
      <c r="D81" s="264">
        <v>386.19</v>
      </c>
      <c r="E81" s="264">
        <v>407.9</v>
      </c>
      <c r="F81" s="264">
        <v>435.87</v>
      </c>
      <c r="G81" s="264">
        <v>399.3</v>
      </c>
      <c r="H81" s="264">
        <v>614.11</v>
      </c>
    </row>
    <row r="82" spans="1:8">
      <c r="A82" s="263" t="s">
        <v>536</v>
      </c>
      <c r="B82" s="265">
        <v>15.36</v>
      </c>
      <c r="C82" s="265">
        <v>18.690000000000001</v>
      </c>
      <c r="D82" s="265">
        <v>21.55</v>
      </c>
      <c r="E82" s="265">
        <v>23</v>
      </c>
      <c r="F82" s="265">
        <v>73.39</v>
      </c>
      <c r="G82" s="265">
        <v>27.37</v>
      </c>
      <c r="H82" s="265">
        <v>29.07</v>
      </c>
    </row>
  </sheetData>
  <mergeCells count="35">
    <mergeCell ref="G11"/>
    <mergeCell ref="H11"/>
    <mergeCell ref="B12"/>
    <mergeCell ref="B13"/>
    <mergeCell ref="B14"/>
    <mergeCell ref="D12"/>
    <mergeCell ref="D13"/>
    <mergeCell ref="D14"/>
    <mergeCell ref="F12"/>
    <mergeCell ref="F13"/>
    <mergeCell ref="B11"/>
    <mergeCell ref="C11"/>
    <mergeCell ref="D11"/>
    <mergeCell ref="E11"/>
    <mergeCell ref="F11"/>
    <mergeCell ref="D15"/>
    <mergeCell ref="E12"/>
    <mergeCell ref="E13"/>
    <mergeCell ref="E14"/>
    <mergeCell ref="E15"/>
    <mergeCell ref="B15"/>
    <mergeCell ref="C12"/>
    <mergeCell ref="C13"/>
    <mergeCell ref="C14"/>
    <mergeCell ref="C15"/>
    <mergeCell ref="H15"/>
    <mergeCell ref="F15"/>
    <mergeCell ref="G12"/>
    <mergeCell ref="G13"/>
    <mergeCell ref="G14"/>
    <mergeCell ref="G15"/>
    <mergeCell ref="F14"/>
    <mergeCell ref="H12"/>
    <mergeCell ref="H13"/>
    <mergeCell ref="H14"/>
  </mergeCells>
  <phoneticPr fontId="6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46A5-F20B-4124-BD22-C78DFB5364D5}">
  <dimension ref="A1:K222"/>
  <sheetViews>
    <sheetView topLeftCell="A116" workbookViewId="0">
      <selection activeCell="A127" sqref="A127"/>
    </sheetView>
  </sheetViews>
  <sheetFormatPr baseColWidth="10" defaultColWidth="11.5" defaultRowHeight="14"/>
  <cols>
    <col min="1" max="1" width="28.5" style="70" bestFit="1" customWidth="1"/>
    <col min="2" max="3" width="18" style="70" bestFit="1" customWidth="1"/>
    <col min="4" max="11" width="12.1640625" style="70" bestFit="1" customWidth="1"/>
    <col min="12" max="16384" width="11.5" style="70"/>
  </cols>
  <sheetData>
    <row r="1" spans="1:11" ht="15" thickBot="1">
      <c r="A1" s="251" t="s">
        <v>228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5" thickTop="1">
      <c r="A2" s="253" t="s">
        <v>229</v>
      </c>
      <c r="B2" s="254" t="s">
        <v>230</v>
      </c>
      <c r="C2" s="255"/>
      <c r="D2" s="255"/>
      <c r="E2" s="255"/>
      <c r="F2" s="255"/>
      <c r="G2" s="255"/>
      <c r="H2" s="255"/>
      <c r="I2" s="255"/>
      <c r="J2" s="255"/>
      <c r="K2" s="255"/>
    </row>
    <row r="3" spans="1:11">
      <c r="A3" s="253" t="s">
        <v>231</v>
      </c>
      <c r="B3" s="253" t="s">
        <v>232</v>
      </c>
      <c r="C3" s="255"/>
      <c r="D3" s="255"/>
      <c r="E3" s="255"/>
      <c r="F3" s="255"/>
      <c r="G3" s="255"/>
      <c r="H3" s="255"/>
      <c r="I3" s="255"/>
      <c r="J3" s="255"/>
      <c r="K3" s="255"/>
    </row>
    <row r="4" spans="1:11">
      <c r="A4" s="253" t="s">
        <v>233</v>
      </c>
      <c r="B4" s="253" t="s">
        <v>232</v>
      </c>
      <c r="C4" s="255"/>
      <c r="D4" s="255"/>
      <c r="E4" s="255"/>
      <c r="F4" s="255"/>
      <c r="G4" s="255"/>
      <c r="H4" s="255"/>
      <c r="I4" s="255"/>
      <c r="J4" s="255"/>
      <c r="K4" s="255"/>
    </row>
    <row r="5" spans="1:11">
      <c r="A5" s="253" t="s">
        <v>234</v>
      </c>
      <c r="B5" s="253" t="s">
        <v>235</v>
      </c>
      <c r="C5" s="255"/>
      <c r="D5" s="255"/>
      <c r="E5" s="255"/>
      <c r="F5" s="255"/>
      <c r="G5" s="255"/>
      <c r="H5" s="255"/>
      <c r="I5" s="255"/>
      <c r="J5" s="255"/>
      <c r="K5" s="255"/>
    </row>
    <row r="6" spans="1:11">
      <c r="A6" s="253" t="s">
        <v>236</v>
      </c>
      <c r="B6" s="253" t="s">
        <v>237</v>
      </c>
      <c r="C6" s="255"/>
      <c r="D6" s="255"/>
      <c r="E6" s="255"/>
      <c r="F6" s="255"/>
      <c r="G6" s="255"/>
      <c r="H6" s="255"/>
      <c r="I6" s="255"/>
      <c r="J6" s="255"/>
      <c r="K6" s="255"/>
    </row>
    <row r="7" spans="1:11">
      <c r="A7" s="253" t="s">
        <v>238</v>
      </c>
      <c r="B7" s="253" t="s">
        <v>239</v>
      </c>
      <c r="C7" s="255"/>
      <c r="D7" s="255"/>
      <c r="E7" s="255"/>
      <c r="F7" s="255"/>
      <c r="G7" s="255"/>
      <c r="H7" s="255"/>
      <c r="I7" s="255"/>
      <c r="J7" s="255"/>
      <c r="K7" s="255"/>
    </row>
    <row r="8" spans="1:11">
      <c r="A8" s="253" t="s">
        <v>240</v>
      </c>
      <c r="B8" s="253" t="s">
        <v>241</v>
      </c>
      <c r="C8" s="255"/>
      <c r="D8" s="255"/>
      <c r="E8" s="255"/>
      <c r="F8" s="255"/>
      <c r="G8" s="255"/>
      <c r="H8" s="255"/>
      <c r="I8" s="255"/>
      <c r="J8" s="255"/>
      <c r="K8" s="255"/>
    </row>
    <row r="9" spans="1:11">
      <c r="A9" s="253" t="s">
        <v>242</v>
      </c>
      <c r="B9" s="253" t="s">
        <v>243</v>
      </c>
      <c r="C9" s="255"/>
      <c r="D9" s="255"/>
      <c r="E9" s="255"/>
      <c r="F9" s="255"/>
      <c r="G9" s="255"/>
      <c r="H9" s="255"/>
      <c r="I9" s="255"/>
      <c r="J9" s="255"/>
      <c r="K9" s="255"/>
    </row>
    <row r="10" spans="1:11">
      <c r="A10" s="253" t="s">
        <v>244</v>
      </c>
      <c r="B10" s="256">
        <v>45772.958490370402</v>
      </c>
      <c r="C10" s="255"/>
      <c r="D10" s="255"/>
      <c r="E10" s="255"/>
      <c r="F10" s="255"/>
      <c r="G10" s="255"/>
      <c r="H10" s="255"/>
      <c r="I10" s="255"/>
      <c r="J10" s="255"/>
      <c r="K10" s="255"/>
    </row>
    <row r="11" spans="1:11">
      <c r="A11" s="257" t="s">
        <v>245</v>
      </c>
      <c r="B11" s="424" t="s">
        <v>246</v>
      </c>
      <c r="C11" s="424" t="s">
        <v>247</v>
      </c>
      <c r="D11" s="424" t="s">
        <v>248</v>
      </c>
      <c r="E11" s="424" t="s">
        <v>249</v>
      </c>
      <c r="F11" s="424" t="s">
        <v>250</v>
      </c>
      <c r="G11" s="424" t="s">
        <v>251</v>
      </c>
      <c r="H11" s="424" t="s">
        <v>252</v>
      </c>
      <c r="I11" s="424" t="s">
        <v>253</v>
      </c>
      <c r="J11" s="424" t="s">
        <v>254</v>
      </c>
      <c r="K11" s="424" t="s">
        <v>255</v>
      </c>
    </row>
    <row r="12" spans="1:11">
      <c r="A12" s="258" t="s">
        <v>256</v>
      </c>
      <c r="B12" s="423">
        <v>42308</v>
      </c>
      <c r="C12" s="423">
        <v>42674</v>
      </c>
      <c r="D12" s="423">
        <v>43039</v>
      </c>
      <c r="E12" s="423">
        <v>43404</v>
      </c>
      <c r="F12" s="423">
        <v>43769</v>
      </c>
      <c r="G12" s="423">
        <v>44135</v>
      </c>
      <c r="H12" s="423">
        <v>44500</v>
      </c>
      <c r="I12" s="423">
        <v>44865</v>
      </c>
      <c r="J12" s="423">
        <v>45230</v>
      </c>
      <c r="K12" s="423">
        <v>45596</v>
      </c>
    </row>
    <row r="13" spans="1:11">
      <c r="A13" s="258" t="s">
        <v>257</v>
      </c>
      <c r="B13" s="423">
        <v>42307</v>
      </c>
      <c r="C13" s="423">
        <v>43038</v>
      </c>
      <c r="D13" s="423">
        <v>43038</v>
      </c>
      <c r="E13" s="423">
        <v>43584</v>
      </c>
      <c r="F13" s="423">
        <v>43768</v>
      </c>
      <c r="G13" s="423">
        <v>44134</v>
      </c>
      <c r="H13" s="423">
        <v>44499</v>
      </c>
      <c r="I13" s="423">
        <v>44864</v>
      </c>
      <c r="J13" s="423">
        <v>45229</v>
      </c>
      <c r="K13" s="423">
        <v>45595</v>
      </c>
    </row>
    <row r="14" spans="1:11">
      <c r="A14" s="258" t="s">
        <v>258</v>
      </c>
      <c r="B14" s="422" t="s">
        <v>259</v>
      </c>
      <c r="C14" s="422" t="s">
        <v>259</v>
      </c>
      <c r="D14" s="422" t="s">
        <v>259</v>
      </c>
      <c r="E14" s="422" t="s">
        <v>259</v>
      </c>
      <c r="F14" s="422" t="s">
        <v>259</v>
      </c>
      <c r="G14" s="422" t="s">
        <v>259</v>
      </c>
      <c r="H14" s="422" t="s">
        <v>259</v>
      </c>
      <c r="I14" s="422" t="s">
        <v>259</v>
      </c>
      <c r="J14" s="422" t="s">
        <v>259</v>
      </c>
      <c r="K14" s="422" t="s">
        <v>259</v>
      </c>
    </row>
    <row r="15" spans="1:11">
      <c r="A15" s="258" t="s">
        <v>260</v>
      </c>
      <c r="B15" s="422" t="s">
        <v>261</v>
      </c>
      <c r="C15" s="422" t="s">
        <v>261</v>
      </c>
      <c r="D15" s="422" t="s">
        <v>261</v>
      </c>
      <c r="E15" s="422" t="s">
        <v>261</v>
      </c>
      <c r="F15" s="422" t="s">
        <v>261</v>
      </c>
      <c r="G15" s="422" t="s">
        <v>261</v>
      </c>
      <c r="H15" s="422" t="s">
        <v>261</v>
      </c>
      <c r="I15" s="422" t="s">
        <v>261</v>
      </c>
      <c r="J15" s="422" t="s">
        <v>261</v>
      </c>
      <c r="K15" s="422" t="s">
        <v>261</v>
      </c>
    </row>
    <row r="17" spans="1:11" ht="28">
      <c r="A17" s="259" t="s">
        <v>262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spans="1:11">
      <c r="A18" s="259" t="s">
        <v>263</v>
      </c>
      <c r="B18" s="260" t="s">
        <v>264</v>
      </c>
      <c r="C18" s="260" t="s">
        <v>265</v>
      </c>
      <c r="D18" s="260" t="s">
        <v>266</v>
      </c>
      <c r="E18" s="260" t="s">
        <v>267</v>
      </c>
      <c r="F18" s="260" t="s">
        <v>268</v>
      </c>
      <c r="G18" s="260" t="s">
        <v>269</v>
      </c>
      <c r="H18" s="260" t="s">
        <v>270</v>
      </c>
      <c r="I18" s="260" t="s">
        <v>271</v>
      </c>
      <c r="J18" s="260" t="s">
        <v>272</v>
      </c>
      <c r="K18" s="260" t="s">
        <v>273</v>
      </c>
    </row>
    <row r="19" spans="1:11">
      <c r="A19" s="261" t="s">
        <v>127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</row>
    <row r="20" spans="1:11" ht="28">
      <c r="A20" s="263" t="s">
        <v>274</v>
      </c>
      <c r="B20" s="265">
        <v>33.6</v>
      </c>
      <c r="C20" s="265">
        <v>42.96</v>
      </c>
      <c r="D20" s="265">
        <v>52.07</v>
      </c>
      <c r="E20" s="265">
        <v>59.6</v>
      </c>
      <c r="F20" s="265">
        <v>57</v>
      </c>
      <c r="G20" s="264">
        <v>406.85</v>
      </c>
      <c r="H20" s="264">
        <v>108.3</v>
      </c>
      <c r="I20" s="264">
        <v>139.5</v>
      </c>
      <c r="J20" s="264">
        <v>171.05</v>
      </c>
      <c r="K20" s="264">
        <v>162.1</v>
      </c>
    </row>
    <row r="21" spans="1:11">
      <c r="A21" s="266" t="s">
        <v>275</v>
      </c>
      <c r="B21" s="265">
        <v>33.6</v>
      </c>
      <c r="C21" s="265">
        <v>42.96</v>
      </c>
      <c r="D21" s="265">
        <v>52.07</v>
      </c>
      <c r="E21" s="265">
        <v>59.6</v>
      </c>
      <c r="F21" s="265">
        <v>57</v>
      </c>
      <c r="G21" s="264">
        <v>406.85</v>
      </c>
      <c r="H21" s="264">
        <v>108.3</v>
      </c>
      <c r="I21" s="264">
        <v>139.5</v>
      </c>
      <c r="J21" s="264">
        <v>171.05</v>
      </c>
      <c r="K21" s="264">
        <v>162.1</v>
      </c>
    </row>
    <row r="22" spans="1:11" ht="28">
      <c r="A22" s="263" t="s">
        <v>276</v>
      </c>
      <c r="B22" s="264">
        <v>181.59</v>
      </c>
      <c r="C22" s="264">
        <v>202.23</v>
      </c>
      <c r="D22" s="264">
        <v>222.46</v>
      </c>
      <c r="E22" s="264">
        <v>251.47</v>
      </c>
      <c r="F22" s="264">
        <v>317.45999999999998</v>
      </c>
      <c r="G22" s="264">
        <v>270.86</v>
      </c>
      <c r="H22" s="264">
        <v>324.99</v>
      </c>
      <c r="I22" s="264">
        <v>388.83</v>
      </c>
      <c r="J22" s="264">
        <v>620.78</v>
      </c>
      <c r="K22" s="264">
        <v>650.72</v>
      </c>
    </row>
    <row r="23" spans="1:11" ht="28">
      <c r="A23" s="266" t="s">
        <v>277</v>
      </c>
      <c r="B23" s="264">
        <v>181.59</v>
      </c>
      <c r="C23" s="264">
        <v>202.23</v>
      </c>
      <c r="D23" s="264">
        <v>222.46</v>
      </c>
      <c r="E23" s="264">
        <v>237.29</v>
      </c>
      <c r="F23" s="264">
        <v>274.33</v>
      </c>
      <c r="G23" s="264">
        <v>210.43</v>
      </c>
      <c r="H23" s="264">
        <v>244.92</v>
      </c>
      <c r="I23" s="264">
        <v>294.85000000000002</v>
      </c>
      <c r="J23" s="264">
        <v>509.08</v>
      </c>
      <c r="K23" s="264">
        <v>538.49</v>
      </c>
    </row>
    <row r="24" spans="1:11" ht="28">
      <c r="A24" s="268" t="s">
        <v>278</v>
      </c>
      <c r="B24" s="264">
        <v>183.63</v>
      </c>
      <c r="C24" s="264">
        <v>205.39</v>
      </c>
      <c r="D24" s="264">
        <v>225.46</v>
      </c>
      <c r="E24" s="264">
        <v>240.54</v>
      </c>
      <c r="F24" s="264">
        <v>277.99</v>
      </c>
      <c r="G24" s="264">
        <v>223.17</v>
      </c>
      <c r="H24" s="264">
        <v>255.79</v>
      </c>
      <c r="I24" s="264">
        <v>303.18</v>
      </c>
      <c r="J24" s="264">
        <v>521.70000000000005</v>
      </c>
      <c r="K24" s="264">
        <v>550.28</v>
      </c>
    </row>
    <row r="25" spans="1:11" ht="28">
      <c r="A25" s="268" t="s">
        <v>279</v>
      </c>
      <c r="B25" s="265">
        <v>2.04</v>
      </c>
      <c r="C25" s="265">
        <v>3.16</v>
      </c>
      <c r="D25" s="265">
        <v>3.01</v>
      </c>
      <c r="E25" s="265">
        <v>3.26</v>
      </c>
      <c r="F25" s="265">
        <v>3.67</v>
      </c>
      <c r="G25" s="265">
        <v>12.74</v>
      </c>
      <c r="H25" s="265">
        <v>10.87</v>
      </c>
      <c r="I25" s="265">
        <v>8.33</v>
      </c>
      <c r="J25" s="265">
        <v>12.62</v>
      </c>
      <c r="K25" s="265">
        <v>11.79</v>
      </c>
    </row>
    <row r="26" spans="1:11">
      <c r="A26" s="266" t="s">
        <v>280</v>
      </c>
      <c r="B26" s="269"/>
      <c r="C26" s="269"/>
      <c r="D26" s="269"/>
      <c r="E26" s="265">
        <v>14.18</v>
      </c>
      <c r="F26" s="265">
        <v>43.13</v>
      </c>
      <c r="G26" s="265">
        <v>60.43</v>
      </c>
      <c r="H26" s="265">
        <v>80.069999999999993</v>
      </c>
      <c r="I26" s="265">
        <v>93.98</v>
      </c>
      <c r="J26" s="264">
        <v>111.7</v>
      </c>
      <c r="K26" s="264">
        <v>112.24</v>
      </c>
    </row>
    <row r="27" spans="1:11">
      <c r="A27" s="263" t="s">
        <v>281</v>
      </c>
      <c r="B27" s="264">
        <v>243.52</v>
      </c>
      <c r="C27" s="264">
        <v>286.3</v>
      </c>
      <c r="D27" s="264">
        <v>343.63</v>
      </c>
      <c r="E27" s="264">
        <v>401.55</v>
      </c>
      <c r="F27" s="264">
        <v>420.32</v>
      </c>
      <c r="G27" s="264">
        <v>463.21</v>
      </c>
      <c r="H27" s="264">
        <v>478.05</v>
      </c>
      <c r="I27" s="264">
        <v>582.47</v>
      </c>
      <c r="J27" s="264">
        <v>1013.68</v>
      </c>
      <c r="K27" s="264">
        <v>1170.95</v>
      </c>
    </row>
    <row r="28" spans="1:11">
      <c r="A28" s="266" t="s">
        <v>282</v>
      </c>
      <c r="B28" s="265">
        <v>89.74</v>
      </c>
      <c r="C28" s="264">
        <v>117.15</v>
      </c>
      <c r="D28" s="264">
        <v>128.03</v>
      </c>
      <c r="E28" s="264">
        <v>158.04</v>
      </c>
      <c r="F28" s="264">
        <v>187.89</v>
      </c>
      <c r="G28" s="264">
        <v>189.75</v>
      </c>
      <c r="H28" s="264">
        <v>194.3</v>
      </c>
      <c r="I28" s="264">
        <v>237.71</v>
      </c>
      <c r="J28" s="264">
        <v>311.5</v>
      </c>
      <c r="K28" s="264">
        <v>387.26</v>
      </c>
    </row>
    <row r="29" spans="1:11" ht="28">
      <c r="A29" s="266" t="s">
        <v>283</v>
      </c>
      <c r="B29" s="265">
        <v>36.72</v>
      </c>
      <c r="C29" s="265">
        <v>39.33</v>
      </c>
      <c r="D29" s="265">
        <v>42.4</v>
      </c>
      <c r="E29" s="265">
        <v>50.96</v>
      </c>
      <c r="F29" s="265">
        <v>32.549999999999997</v>
      </c>
      <c r="G29" s="265">
        <v>37.96</v>
      </c>
      <c r="H29" s="265">
        <v>44.89</v>
      </c>
      <c r="I29" s="265">
        <v>59.74</v>
      </c>
      <c r="J29" s="265">
        <v>79.790000000000006</v>
      </c>
      <c r="K29" s="265">
        <v>99.11</v>
      </c>
    </row>
    <row r="30" spans="1:11">
      <c r="A30" s="266" t="s">
        <v>284</v>
      </c>
      <c r="B30" s="264">
        <v>119.26</v>
      </c>
      <c r="C30" s="264">
        <v>131.01</v>
      </c>
      <c r="D30" s="264">
        <v>173.56</v>
      </c>
      <c r="E30" s="264">
        <v>192.76</v>
      </c>
      <c r="F30" s="264">
        <v>199.88</v>
      </c>
      <c r="G30" s="264">
        <v>235.5</v>
      </c>
      <c r="H30" s="264">
        <v>238.87</v>
      </c>
      <c r="I30" s="264">
        <v>285.02</v>
      </c>
      <c r="J30" s="264">
        <v>622.4</v>
      </c>
      <c r="K30" s="264">
        <v>684.58</v>
      </c>
    </row>
    <row r="31" spans="1:11">
      <c r="A31" s="266" t="s">
        <v>285</v>
      </c>
      <c r="B31" s="267">
        <v>-2.21</v>
      </c>
      <c r="C31" s="267">
        <v>-1.19</v>
      </c>
      <c r="D31" s="267">
        <v>-0.36</v>
      </c>
      <c r="E31" s="267">
        <v>-0.21</v>
      </c>
      <c r="F31" s="269">
        <v>0</v>
      </c>
      <c r="G31" s="269"/>
      <c r="H31" s="269"/>
      <c r="I31" s="269"/>
      <c r="J31" s="269"/>
      <c r="K31" s="269"/>
    </row>
    <row r="32" spans="1:11">
      <c r="A32" s="263" t="s">
        <v>286</v>
      </c>
      <c r="B32" s="265">
        <v>9.3699999999999992</v>
      </c>
      <c r="C32" s="265">
        <v>11.67</v>
      </c>
      <c r="D32" s="265">
        <v>13.74</v>
      </c>
      <c r="E32" s="265">
        <v>21.19</v>
      </c>
      <c r="F32" s="265">
        <v>18.95</v>
      </c>
      <c r="G32" s="265">
        <v>24.71</v>
      </c>
      <c r="H32" s="265">
        <v>26.05</v>
      </c>
      <c r="I32" s="265">
        <v>41.93</v>
      </c>
      <c r="J32" s="265">
        <v>49.84</v>
      </c>
      <c r="K32" s="265">
        <v>78.52</v>
      </c>
    </row>
    <row r="33" spans="1:11">
      <c r="A33" s="263" t="s">
        <v>287</v>
      </c>
      <c r="B33" s="265">
        <v>35.53</v>
      </c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28">
      <c r="A34" s="266" t="s">
        <v>288</v>
      </c>
      <c r="B34" s="265">
        <v>35.53</v>
      </c>
      <c r="C34" s="269"/>
      <c r="D34" s="269"/>
      <c r="E34" s="269"/>
      <c r="F34" s="269"/>
      <c r="G34" s="269"/>
      <c r="H34" s="269"/>
      <c r="I34" s="269"/>
      <c r="J34" s="269"/>
      <c r="K34" s="269"/>
    </row>
    <row r="35" spans="1:11">
      <c r="A35" s="271" t="s">
        <v>289</v>
      </c>
      <c r="B35" s="272">
        <v>503.61</v>
      </c>
      <c r="C35" s="272">
        <v>543.16</v>
      </c>
      <c r="D35" s="272">
        <v>631.89</v>
      </c>
      <c r="E35" s="272">
        <v>733.81</v>
      </c>
      <c r="F35" s="272">
        <v>813.73</v>
      </c>
      <c r="G35" s="272">
        <v>1165.6300000000001</v>
      </c>
      <c r="H35" s="272">
        <v>937.39</v>
      </c>
      <c r="I35" s="272">
        <v>1152.73</v>
      </c>
      <c r="J35" s="272">
        <v>1855.34</v>
      </c>
      <c r="K35" s="272">
        <v>2062.29</v>
      </c>
    </row>
    <row r="36" spans="1:11">
      <c r="A36" s="261" t="s">
        <v>290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</row>
    <row r="37" spans="1:11" ht="28">
      <c r="A37" s="263" t="s">
        <v>291</v>
      </c>
      <c r="B37" s="264">
        <v>105.67</v>
      </c>
      <c r="C37" s="264">
        <v>121.61</v>
      </c>
      <c r="D37" s="264">
        <v>129.88</v>
      </c>
      <c r="E37" s="264">
        <v>154.74</v>
      </c>
      <c r="F37" s="264">
        <v>173.35</v>
      </c>
      <c r="G37" s="264">
        <v>225.95</v>
      </c>
      <c r="H37" s="264">
        <v>268.25</v>
      </c>
      <c r="I37" s="264">
        <v>315.63</v>
      </c>
      <c r="J37" s="264">
        <v>443.22</v>
      </c>
      <c r="K37" s="264">
        <v>470.87</v>
      </c>
    </row>
    <row r="38" spans="1:11" ht="42">
      <c r="A38" s="266" t="s">
        <v>292</v>
      </c>
      <c r="B38" s="264">
        <v>105.67</v>
      </c>
      <c r="C38" s="264">
        <v>121.61</v>
      </c>
      <c r="D38" s="264">
        <v>129.88</v>
      </c>
      <c r="E38" s="264">
        <v>154.74</v>
      </c>
      <c r="F38" s="264">
        <v>173.35</v>
      </c>
      <c r="G38" s="264">
        <v>225.95</v>
      </c>
      <c r="H38" s="264">
        <v>268.25</v>
      </c>
      <c r="I38" s="264">
        <v>315.63</v>
      </c>
      <c r="J38" s="264">
        <v>443.22</v>
      </c>
      <c r="K38" s="264">
        <v>470.87</v>
      </c>
    </row>
    <row r="39" spans="1:11" ht="28">
      <c r="A39" s="266" t="s">
        <v>293</v>
      </c>
      <c r="B39" s="264">
        <v>232.38</v>
      </c>
      <c r="C39" s="264">
        <v>266.45999999999998</v>
      </c>
      <c r="D39" s="264">
        <v>294.2</v>
      </c>
      <c r="E39" s="264">
        <v>342.44</v>
      </c>
      <c r="F39" s="264">
        <v>385.33</v>
      </c>
      <c r="G39" s="264">
        <v>458.45</v>
      </c>
      <c r="H39" s="264">
        <v>525.20000000000005</v>
      </c>
      <c r="I39" s="264">
        <v>592.71</v>
      </c>
      <c r="J39" s="264">
        <v>756.05</v>
      </c>
      <c r="K39" s="264">
        <v>827.3</v>
      </c>
    </row>
    <row r="40" spans="1:11" ht="42">
      <c r="A40" s="268" t="s">
        <v>294</v>
      </c>
      <c r="B40" s="264">
        <v>232.38</v>
      </c>
      <c r="C40" s="264">
        <v>266.45999999999998</v>
      </c>
      <c r="D40" s="264">
        <v>294.2</v>
      </c>
      <c r="E40" s="264">
        <v>342.44</v>
      </c>
      <c r="F40" s="264">
        <v>385.33</v>
      </c>
      <c r="G40" s="264">
        <v>458.45</v>
      </c>
      <c r="H40" s="264">
        <v>525.20000000000005</v>
      </c>
      <c r="I40" s="264">
        <v>592.71</v>
      </c>
      <c r="J40" s="264">
        <v>756.05</v>
      </c>
      <c r="K40" s="264">
        <v>827.3</v>
      </c>
    </row>
    <row r="41" spans="1:11">
      <c r="A41" s="277" t="s">
        <v>295</v>
      </c>
      <c r="B41" s="265">
        <v>75.69</v>
      </c>
      <c r="C41" s="265">
        <v>84.3</v>
      </c>
      <c r="D41" s="265">
        <v>97.35</v>
      </c>
      <c r="E41" s="264">
        <v>107.29</v>
      </c>
      <c r="F41" s="264">
        <v>123.82</v>
      </c>
      <c r="G41" s="264">
        <v>127.45</v>
      </c>
      <c r="H41" s="264">
        <v>145.51</v>
      </c>
      <c r="I41" s="264">
        <v>166.18</v>
      </c>
      <c r="J41" s="264">
        <v>222.21</v>
      </c>
      <c r="K41" s="264">
        <v>237.53</v>
      </c>
    </row>
    <row r="42" spans="1:11" ht="28">
      <c r="A42" s="278" t="s">
        <v>296</v>
      </c>
      <c r="B42" s="265">
        <v>5.0599999999999996</v>
      </c>
      <c r="C42" s="265">
        <v>5.09</v>
      </c>
      <c r="D42" s="265">
        <v>5.44</v>
      </c>
      <c r="E42" s="265">
        <v>5.86</v>
      </c>
      <c r="F42" s="265">
        <v>6.82</v>
      </c>
      <c r="G42" s="265">
        <v>6.68</v>
      </c>
      <c r="H42" s="265">
        <v>11.36</v>
      </c>
      <c r="I42" s="265">
        <v>17.579999999999998</v>
      </c>
      <c r="J42" s="265">
        <v>19.71</v>
      </c>
      <c r="K42" s="265">
        <v>19.97</v>
      </c>
    </row>
    <row r="43" spans="1:11">
      <c r="A43" s="278" t="s">
        <v>297</v>
      </c>
      <c r="B43" s="265">
        <v>70.63</v>
      </c>
      <c r="C43" s="265">
        <v>79.209999999999994</v>
      </c>
      <c r="D43" s="265">
        <v>91.92</v>
      </c>
      <c r="E43" s="264">
        <v>101.42</v>
      </c>
      <c r="F43" s="264">
        <v>117</v>
      </c>
      <c r="G43" s="264">
        <v>120.77</v>
      </c>
      <c r="H43" s="264">
        <v>134.15</v>
      </c>
      <c r="I43" s="264">
        <v>148.6</v>
      </c>
      <c r="J43" s="264">
        <v>202.5</v>
      </c>
      <c r="K43" s="264">
        <v>217.55</v>
      </c>
    </row>
    <row r="44" spans="1:11" ht="28">
      <c r="A44" s="277" t="s">
        <v>298</v>
      </c>
      <c r="B44" s="264">
        <v>152.02000000000001</v>
      </c>
      <c r="C44" s="264">
        <v>171.72</v>
      </c>
      <c r="D44" s="264">
        <v>191.3</v>
      </c>
      <c r="E44" s="264">
        <v>230.11</v>
      </c>
      <c r="F44" s="264">
        <v>253.13</v>
      </c>
      <c r="G44" s="264">
        <v>265.41000000000003</v>
      </c>
      <c r="H44" s="264">
        <v>297.3</v>
      </c>
      <c r="I44" s="264">
        <v>322.25</v>
      </c>
      <c r="J44" s="264">
        <v>386.6</v>
      </c>
      <c r="K44" s="264">
        <v>422.5</v>
      </c>
    </row>
    <row r="45" spans="1:11" ht="28">
      <c r="A45" s="277" t="s">
        <v>299</v>
      </c>
      <c r="B45" s="265">
        <v>4.67</v>
      </c>
      <c r="C45" s="265">
        <v>10.45</v>
      </c>
      <c r="D45" s="265">
        <v>5.55</v>
      </c>
      <c r="E45" s="265">
        <v>5.04</v>
      </c>
      <c r="F45" s="265">
        <v>8.3800000000000008</v>
      </c>
      <c r="G45" s="265">
        <v>8.49</v>
      </c>
      <c r="H45" s="265">
        <v>7.78</v>
      </c>
      <c r="I45" s="265">
        <v>14.53</v>
      </c>
      <c r="J45" s="265">
        <v>25.87</v>
      </c>
      <c r="K45" s="265">
        <v>35.43</v>
      </c>
    </row>
    <row r="46" spans="1:11" ht="28">
      <c r="A46" s="277" t="s">
        <v>300</v>
      </c>
      <c r="B46" s="269"/>
      <c r="C46" s="269"/>
      <c r="D46" s="269"/>
      <c r="E46" s="269"/>
      <c r="F46" s="269"/>
      <c r="G46" s="265">
        <v>57.1</v>
      </c>
      <c r="H46" s="265">
        <v>74.61</v>
      </c>
      <c r="I46" s="265">
        <v>89.75</v>
      </c>
      <c r="J46" s="264">
        <v>121.37</v>
      </c>
      <c r="K46" s="264">
        <v>131.84</v>
      </c>
    </row>
    <row r="47" spans="1:11" ht="42">
      <c r="A47" s="278" t="s">
        <v>301</v>
      </c>
      <c r="B47" s="269"/>
      <c r="C47" s="269"/>
      <c r="D47" s="269"/>
      <c r="E47" s="269"/>
      <c r="F47" s="269"/>
      <c r="G47" s="265">
        <v>57.1</v>
      </c>
      <c r="H47" s="265">
        <v>74.61</v>
      </c>
      <c r="I47" s="265">
        <v>89.75</v>
      </c>
      <c r="J47" s="264">
        <v>121.37</v>
      </c>
      <c r="K47" s="264">
        <v>131.84</v>
      </c>
    </row>
    <row r="48" spans="1:11" ht="42">
      <c r="A48" s="266" t="s">
        <v>302</v>
      </c>
      <c r="B48" s="264">
        <v>126.71</v>
      </c>
      <c r="C48" s="264">
        <v>144.85</v>
      </c>
      <c r="D48" s="264">
        <v>164.32</v>
      </c>
      <c r="E48" s="264">
        <v>187.7</v>
      </c>
      <c r="F48" s="264">
        <v>211.98</v>
      </c>
      <c r="G48" s="264">
        <v>232.49</v>
      </c>
      <c r="H48" s="264">
        <v>256.95999999999998</v>
      </c>
      <c r="I48" s="264">
        <v>277.08</v>
      </c>
      <c r="J48" s="264">
        <v>312.83</v>
      </c>
      <c r="K48" s="264">
        <v>356.43</v>
      </c>
    </row>
    <row r="49" spans="1:11" ht="70">
      <c r="A49" s="268" t="s">
        <v>303</v>
      </c>
      <c r="B49" s="264">
        <v>126.71</v>
      </c>
      <c r="C49" s="264">
        <v>144.85</v>
      </c>
      <c r="D49" s="264">
        <v>164.32</v>
      </c>
      <c r="E49" s="264">
        <v>187.7</v>
      </c>
      <c r="F49" s="264">
        <v>211.98</v>
      </c>
      <c r="G49" s="264">
        <v>232.49</v>
      </c>
      <c r="H49" s="264">
        <v>256.95999999999998</v>
      </c>
      <c r="I49" s="264">
        <v>277.08</v>
      </c>
      <c r="J49" s="264">
        <v>312.83</v>
      </c>
      <c r="K49" s="264">
        <v>356.43</v>
      </c>
    </row>
    <row r="50" spans="1:11" ht="28">
      <c r="A50" s="263" t="s">
        <v>304</v>
      </c>
      <c r="B50" s="265">
        <v>87.87</v>
      </c>
      <c r="C50" s="264">
        <v>101.06</v>
      </c>
      <c r="D50" s="264">
        <v>131.27000000000001</v>
      </c>
      <c r="E50" s="264">
        <v>143.66</v>
      </c>
      <c r="F50" s="264">
        <v>162.74</v>
      </c>
      <c r="G50" s="264">
        <v>193.93</v>
      </c>
      <c r="H50" s="264">
        <v>260.07</v>
      </c>
      <c r="I50" s="264">
        <v>221.38</v>
      </c>
      <c r="J50" s="264">
        <v>264.89</v>
      </c>
      <c r="K50" s="264">
        <v>344.59</v>
      </c>
    </row>
    <row r="51" spans="1:11" ht="28">
      <c r="A51" s="266" t="s">
        <v>305</v>
      </c>
      <c r="B51" s="265">
        <v>0.85</v>
      </c>
      <c r="C51" s="265">
        <v>0.41</v>
      </c>
      <c r="D51" s="269">
        <v>0</v>
      </c>
      <c r="E51" s="269"/>
      <c r="F51" s="269"/>
      <c r="G51" s="269"/>
      <c r="H51" s="269"/>
      <c r="I51" s="269"/>
      <c r="J51" s="269"/>
      <c r="K51" s="269"/>
    </row>
    <row r="52" spans="1:11">
      <c r="A52" s="266" t="s">
        <v>306</v>
      </c>
      <c r="B52" s="265">
        <v>87.03</v>
      </c>
      <c r="C52" s="264">
        <v>100.66</v>
      </c>
      <c r="D52" s="264">
        <v>131.27000000000001</v>
      </c>
      <c r="E52" s="269"/>
      <c r="F52" s="269"/>
      <c r="G52" s="264">
        <v>193.93</v>
      </c>
      <c r="H52" s="264">
        <v>260.07</v>
      </c>
      <c r="I52" s="264">
        <v>221.38</v>
      </c>
      <c r="J52" s="264">
        <v>264.89</v>
      </c>
      <c r="K52" s="264">
        <v>344.59</v>
      </c>
    </row>
    <row r="53" spans="1:11">
      <c r="A53" s="263" t="s">
        <v>307</v>
      </c>
      <c r="B53" s="264">
        <v>1039.23</v>
      </c>
      <c r="C53" s="264">
        <v>1232.58</v>
      </c>
      <c r="D53" s="264">
        <v>1619.39</v>
      </c>
      <c r="E53" s="264">
        <v>1621.19</v>
      </c>
      <c r="F53" s="264">
        <v>1819.4</v>
      </c>
      <c r="G53" s="264">
        <v>1962.21</v>
      </c>
      <c r="H53" s="264">
        <v>2032.7</v>
      </c>
      <c r="I53" s="264">
        <v>2405.75</v>
      </c>
      <c r="J53" s="264">
        <v>4631.6099999999997</v>
      </c>
      <c r="K53" s="264">
        <v>4715.07</v>
      </c>
    </row>
    <row r="54" spans="1:11" ht="28">
      <c r="A54" s="266" t="s">
        <v>308</v>
      </c>
      <c r="B54" s="264">
        <v>766.64</v>
      </c>
      <c r="C54" s="264">
        <v>865.72</v>
      </c>
      <c r="D54" s="264">
        <v>1081.31</v>
      </c>
      <c r="E54" s="264">
        <v>1114.83</v>
      </c>
      <c r="F54" s="264">
        <v>1268.7</v>
      </c>
      <c r="G54" s="264">
        <v>1383.17</v>
      </c>
      <c r="H54" s="264">
        <v>1450.4</v>
      </c>
      <c r="I54" s="264">
        <v>1672.43</v>
      </c>
      <c r="J54" s="264">
        <v>3274.33</v>
      </c>
      <c r="K54" s="264">
        <v>3380.3</v>
      </c>
    </row>
    <row r="55" spans="1:11" ht="28">
      <c r="A55" s="266" t="s">
        <v>309</v>
      </c>
      <c r="B55" s="264">
        <v>272.58999999999997</v>
      </c>
      <c r="C55" s="264">
        <v>366.86</v>
      </c>
      <c r="D55" s="264">
        <v>538.08000000000004</v>
      </c>
      <c r="E55" s="264">
        <v>506.36</v>
      </c>
      <c r="F55" s="264">
        <v>550.69000000000005</v>
      </c>
      <c r="G55" s="264">
        <v>579.04</v>
      </c>
      <c r="H55" s="264">
        <v>582.30999999999995</v>
      </c>
      <c r="I55" s="264">
        <v>733.33</v>
      </c>
      <c r="J55" s="264">
        <v>1357.28</v>
      </c>
      <c r="K55" s="264">
        <v>1334.77</v>
      </c>
    </row>
    <row r="56" spans="1:11" ht="42">
      <c r="A56" s="268" t="s">
        <v>310</v>
      </c>
      <c r="B56" s="265">
        <v>68.06</v>
      </c>
      <c r="C56" s="265">
        <v>96.66</v>
      </c>
      <c r="D56" s="264">
        <v>134.6</v>
      </c>
      <c r="E56" s="264">
        <v>134.81</v>
      </c>
      <c r="F56" s="264">
        <v>153.69</v>
      </c>
      <c r="G56" s="264">
        <v>166.89</v>
      </c>
      <c r="H56" s="264">
        <v>176.71</v>
      </c>
      <c r="I56" s="264">
        <v>215.05</v>
      </c>
      <c r="J56" s="264">
        <v>289.17</v>
      </c>
      <c r="K56" s="264">
        <v>293.26</v>
      </c>
    </row>
    <row r="57" spans="1:11" ht="70">
      <c r="A57" s="268" t="s">
        <v>311</v>
      </c>
      <c r="B57" s="265">
        <v>77.55</v>
      </c>
      <c r="C57" s="264">
        <v>110.76</v>
      </c>
      <c r="D57" s="264">
        <v>140.58000000000001</v>
      </c>
      <c r="E57" s="264">
        <v>132.97</v>
      </c>
      <c r="F57" s="264">
        <v>148.65</v>
      </c>
      <c r="G57" s="264">
        <v>157.93</v>
      </c>
      <c r="H57" s="264">
        <v>162.19</v>
      </c>
      <c r="I57" s="264">
        <v>185.19</v>
      </c>
      <c r="J57" s="264">
        <v>326.83</v>
      </c>
      <c r="K57" s="264">
        <v>334.33</v>
      </c>
    </row>
    <row r="58" spans="1:11" ht="28">
      <c r="A58" s="268" t="s">
        <v>312</v>
      </c>
      <c r="B58" s="264">
        <v>126.99</v>
      </c>
      <c r="C58" s="264">
        <v>159.44</v>
      </c>
      <c r="D58" s="264">
        <v>262.89999999999998</v>
      </c>
      <c r="E58" s="264">
        <v>238.59</v>
      </c>
      <c r="F58" s="264">
        <v>248.35</v>
      </c>
      <c r="G58" s="264">
        <v>254.22</v>
      </c>
      <c r="H58" s="264">
        <v>243.41</v>
      </c>
      <c r="I58" s="264">
        <v>333.09</v>
      </c>
      <c r="J58" s="264">
        <v>741.28</v>
      </c>
      <c r="K58" s="264">
        <v>707.18</v>
      </c>
    </row>
    <row r="59" spans="1:11">
      <c r="A59" s="271" t="s">
        <v>313</v>
      </c>
      <c r="B59" s="272">
        <v>1232.78</v>
      </c>
      <c r="C59" s="272">
        <v>1455.25</v>
      </c>
      <c r="D59" s="272">
        <v>1880.54</v>
      </c>
      <c r="E59" s="272">
        <v>1919.59</v>
      </c>
      <c r="F59" s="272">
        <v>2155.48</v>
      </c>
      <c r="G59" s="272">
        <v>2382.09</v>
      </c>
      <c r="H59" s="272">
        <v>2561.02</v>
      </c>
      <c r="I59" s="272">
        <v>2942.77</v>
      </c>
      <c r="J59" s="272">
        <v>5339.72</v>
      </c>
      <c r="K59" s="272">
        <v>5530.53</v>
      </c>
    </row>
    <row r="60" spans="1:11">
      <c r="A60" s="261" t="s">
        <v>314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</row>
    <row r="61" spans="1:11">
      <c r="A61" s="271" t="s">
        <v>314</v>
      </c>
      <c r="B61" s="272">
        <v>1736.39</v>
      </c>
      <c r="C61" s="272">
        <v>1998.41</v>
      </c>
      <c r="D61" s="272">
        <v>2512.4299999999998</v>
      </c>
      <c r="E61" s="272">
        <v>2653.4</v>
      </c>
      <c r="F61" s="272">
        <v>2969.21</v>
      </c>
      <c r="G61" s="272">
        <v>3547.71</v>
      </c>
      <c r="H61" s="272">
        <v>3498.41</v>
      </c>
      <c r="I61" s="272">
        <v>4095.5</v>
      </c>
      <c r="J61" s="272">
        <v>7195.06</v>
      </c>
      <c r="K61" s="272">
        <v>7592.82</v>
      </c>
    </row>
    <row r="62" spans="1:11">
      <c r="A62" s="261" t="s">
        <v>315</v>
      </c>
      <c r="B62" s="262"/>
      <c r="C62" s="262"/>
      <c r="D62" s="262"/>
      <c r="E62" s="262"/>
      <c r="F62" s="262"/>
      <c r="G62" s="262"/>
      <c r="H62" s="262"/>
      <c r="I62" s="262"/>
      <c r="J62" s="262"/>
      <c r="K62" s="262"/>
    </row>
    <row r="63" spans="1:11" ht="28">
      <c r="A63" s="263" t="s">
        <v>316</v>
      </c>
      <c r="B63" s="264">
        <v>164.84</v>
      </c>
      <c r="C63" s="264">
        <v>159.79</v>
      </c>
      <c r="D63" s="264">
        <v>188.24</v>
      </c>
      <c r="E63" s="264">
        <v>278.73</v>
      </c>
      <c r="F63" s="264">
        <v>237.3</v>
      </c>
      <c r="G63" s="264">
        <v>175.11</v>
      </c>
      <c r="H63" s="264">
        <v>219.98</v>
      </c>
      <c r="I63" s="264">
        <v>294.18</v>
      </c>
      <c r="J63" s="264">
        <v>468.32</v>
      </c>
      <c r="K63" s="264">
        <v>510.45</v>
      </c>
    </row>
    <row r="64" spans="1:11" ht="28">
      <c r="A64" s="266" t="s">
        <v>317</v>
      </c>
      <c r="B64" s="265">
        <v>64.680000000000007</v>
      </c>
      <c r="C64" s="265">
        <v>73.33</v>
      </c>
      <c r="D64" s="265">
        <v>89.72</v>
      </c>
      <c r="E64" s="264">
        <v>107.22</v>
      </c>
      <c r="F64" s="264">
        <v>106.23</v>
      </c>
      <c r="G64" s="265">
        <v>76.239999999999995</v>
      </c>
      <c r="H64" s="265">
        <v>85.54</v>
      </c>
      <c r="I64" s="264">
        <v>116.55</v>
      </c>
      <c r="J64" s="264">
        <v>205.89</v>
      </c>
      <c r="K64" s="264">
        <v>198.43</v>
      </c>
    </row>
    <row r="65" spans="1:11" ht="28">
      <c r="A65" s="266" t="s">
        <v>318</v>
      </c>
      <c r="B65" s="264">
        <v>100.16</v>
      </c>
      <c r="C65" s="265">
        <v>86.46</v>
      </c>
      <c r="D65" s="265">
        <v>98.51</v>
      </c>
      <c r="E65" s="264">
        <v>171.51</v>
      </c>
      <c r="F65" s="264">
        <v>131.08000000000001</v>
      </c>
      <c r="G65" s="265">
        <v>98.87</v>
      </c>
      <c r="H65" s="264">
        <v>134.44</v>
      </c>
      <c r="I65" s="264">
        <v>177.62</v>
      </c>
      <c r="J65" s="264">
        <v>262.42</v>
      </c>
      <c r="K65" s="264">
        <v>312.02</v>
      </c>
    </row>
    <row r="66" spans="1:11" ht="28">
      <c r="A66" s="263" t="s">
        <v>319</v>
      </c>
      <c r="B66" s="265">
        <v>0.36</v>
      </c>
      <c r="C66" s="265">
        <v>0.41</v>
      </c>
      <c r="D66" s="265">
        <v>0.45</v>
      </c>
      <c r="E66" s="265">
        <v>0.86</v>
      </c>
      <c r="F66" s="265">
        <v>0.91</v>
      </c>
      <c r="G66" s="265">
        <v>1.05</v>
      </c>
      <c r="H66" s="265">
        <v>1.52</v>
      </c>
      <c r="I66" s="265">
        <v>1.65</v>
      </c>
      <c r="J66" s="265">
        <v>17.8</v>
      </c>
      <c r="K66" s="265">
        <v>4.1100000000000003</v>
      </c>
    </row>
    <row r="67" spans="1:11" ht="42">
      <c r="A67" s="266" t="s">
        <v>320</v>
      </c>
      <c r="B67" s="265">
        <v>0.36</v>
      </c>
      <c r="C67" s="265">
        <v>0.41</v>
      </c>
      <c r="D67" s="265">
        <v>0.45</v>
      </c>
      <c r="E67" s="265">
        <v>0.86</v>
      </c>
      <c r="F67" s="265">
        <v>0.91</v>
      </c>
      <c r="G67" s="265">
        <v>1.05</v>
      </c>
      <c r="H67" s="265">
        <v>1.52</v>
      </c>
      <c r="I67" s="265">
        <v>1.65</v>
      </c>
      <c r="J67" s="265">
        <v>17.8</v>
      </c>
      <c r="K67" s="265">
        <v>4.1100000000000003</v>
      </c>
    </row>
    <row r="68" spans="1:11" ht="42">
      <c r="A68" s="268" t="s">
        <v>321</v>
      </c>
      <c r="B68" s="269"/>
      <c r="C68" s="269"/>
      <c r="D68" s="269">
        <v>0</v>
      </c>
      <c r="E68" s="269"/>
      <c r="F68" s="269"/>
      <c r="G68" s="265">
        <v>0.01</v>
      </c>
      <c r="H68" s="265">
        <v>0.03</v>
      </c>
      <c r="I68" s="265">
        <v>0.03</v>
      </c>
      <c r="J68" s="265">
        <v>13.55</v>
      </c>
      <c r="K68" s="265">
        <v>0.05</v>
      </c>
    </row>
    <row r="69" spans="1:11" ht="28">
      <c r="A69" s="268" t="s">
        <v>322</v>
      </c>
      <c r="B69" s="269"/>
      <c r="C69" s="265">
        <v>0.41</v>
      </c>
      <c r="D69" s="265">
        <v>0.45</v>
      </c>
      <c r="E69" s="269"/>
      <c r="F69" s="269"/>
      <c r="G69" s="265">
        <v>1.03</v>
      </c>
      <c r="H69" s="265">
        <v>1.48</v>
      </c>
      <c r="I69" s="265">
        <v>1.62</v>
      </c>
      <c r="J69" s="265">
        <v>4.25</v>
      </c>
      <c r="K69" s="265">
        <v>4.0599999999999996</v>
      </c>
    </row>
    <row r="70" spans="1:11" ht="28">
      <c r="A70" s="263" t="s">
        <v>323</v>
      </c>
      <c r="B70" s="265">
        <v>3.19</v>
      </c>
      <c r="C70" s="265">
        <v>4.62</v>
      </c>
      <c r="D70" s="265">
        <v>11.65</v>
      </c>
      <c r="E70" s="265">
        <v>2.84</v>
      </c>
      <c r="F70" s="265">
        <v>3.05</v>
      </c>
      <c r="G70" s="265">
        <v>1.65</v>
      </c>
      <c r="H70" s="265">
        <v>0.96</v>
      </c>
      <c r="I70" s="265">
        <v>12.46</v>
      </c>
      <c r="J70" s="265">
        <v>8.5500000000000007</v>
      </c>
      <c r="K70" s="265">
        <v>33.53</v>
      </c>
    </row>
    <row r="71" spans="1:11" ht="28">
      <c r="A71" s="263" t="s">
        <v>324</v>
      </c>
      <c r="B71" s="269"/>
      <c r="C71" s="269"/>
      <c r="D71" s="269"/>
      <c r="E71" s="269"/>
      <c r="F71" s="269"/>
      <c r="G71" s="265">
        <v>14.18</v>
      </c>
      <c r="H71" s="265">
        <v>13.87</v>
      </c>
      <c r="I71" s="265">
        <v>14.66</v>
      </c>
      <c r="J71" s="265">
        <v>20.5</v>
      </c>
      <c r="K71" s="265">
        <v>23.42</v>
      </c>
    </row>
    <row r="72" spans="1:11">
      <c r="A72" s="263" t="s">
        <v>325</v>
      </c>
      <c r="B72" s="269"/>
      <c r="C72" s="265">
        <v>49.59</v>
      </c>
      <c r="D72" s="265">
        <v>49.1</v>
      </c>
      <c r="E72" s="269"/>
      <c r="F72" s="265">
        <v>47.88</v>
      </c>
      <c r="G72" s="265">
        <v>49.18</v>
      </c>
      <c r="H72" s="265">
        <v>58.55</v>
      </c>
      <c r="I72" s="265">
        <v>97.92</v>
      </c>
      <c r="J72" s="264">
        <v>150.16999999999999</v>
      </c>
      <c r="K72" s="265">
        <v>92.34</v>
      </c>
    </row>
    <row r="73" spans="1:11" ht="28">
      <c r="A73" s="266" t="s">
        <v>326</v>
      </c>
      <c r="B73" s="269"/>
      <c r="C73" s="265">
        <v>32.14</v>
      </c>
      <c r="D73" s="265">
        <v>29.25</v>
      </c>
      <c r="E73" s="269"/>
      <c r="F73" s="265">
        <v>23.81</v>
      </c>
      <c r="G73" s="265">
        <v>25.63</v>
      </c>
      <c r="H73" s="265">
        <v>32.74</v>
      </c>
      <c r="I73" s="265">
        <v>58.76</v>
      </c>
      <c r="J73" s="265">
        <v>87.56</v>
      </c>
      <c r="K73" s="265">
        <v>83.9</v>
      </c>
    </row>
    <row r="74" spans="1:11" ht="28">
      <c r="A74" s="266" t="s">
        <v>327</v>
      </c>
      <c r="B74" s="269"/>
      <c r="C74" s="265">
        <v>11.01</v>
      </c>
      <c r="D74" s="265">
        <v>1.25</v>
      </c>
      <c r="E74" s="269"/>
      <c r="F74" s="269"/>
      <c r="G74" s="269"/>
      <c r="H74" s="269"/>
      <c r="I74" s="269"/>
      <c r="J74" s="269"/>
      <c r="K74" s="269"/>
    </row>
    <row r="75" spans="1:11">
      <c r="A75" s="266" t="s">
        <v>328</v>
      </c>
      <c r="B75" s="269"/>
      <c r="C75" s="265">
        <v>6.45</v>
      </c>
      <c r="D75" s="265">
        <v>18.61</v>
      </c>
      <c r="E75" s="269"/>
      <c r="F75" s="265">
        <v>24.07</v>
      </c>
      <c r="G75" s="265">
        <v>23.55</v>
      </c>
      <c r="H75" s="265">
        <v>25.81</v>
      </c>
      <c r="I75" s="265">
        <v>39.159999999999997</v>
      </c>
      <c r="J75" s="265">
        <v>62.62</v>
      </c>
      <c r="K75" s="265">
        <v>8.44</v>
      </c>
    </row>
    <row r="76" spans="1:11">
      <c r="A76" s="271" t="s">
        <v>329</v>
      </c>
      <c r="B76" s="272">
        <v>168.39</v>
      </c>
      <c r="C76" s="272">
        <v>214.42</v>
      </c>
      <c r="D76" s="272">
        <v>249.44</v>
      </c>
      <c r="E76" s="272">
        <v>282.43</v>
      </c>
      <c r="F76" s="272">
        <v>289.14</v>
      </c>
      <c r="G76" s="272">
        <v>241.16</v>
      </c>
      <c r="H76" s="272">
        <v>294.88</v>
      </c>
      <c r="I76" s="272">
        <v>420.86</v>
      </c>
      <c r="J76" s="272">
        <v>665.34</v>
      </c>
      <c r="K76" s="272">
        <v>663.85</v>
      </c>
    </row>
    <row r="77" spans="1:11">
      <c r="A77" s="261" t="s">
        <v>330</v>
      </c>
      <c r="B77" s="262"/>
      <c r="C77" s="262"/>
      <c r="D77" s="262"/>
      <c r="E77" s="262"/>
      <c r="F77" s="262"/>
      <c r="G77" s="262"/>
      <c r="H77" s="262"/>
      <c r="I77" s="262"/>
      <c r="J77" s="262"/>
      <c r="K77" s="262"/>
    </row>
    <row r="78" spans="1:11">
      <c r="A78" s="263" t="s">
        <v>331</v>
      </c>
      <c r="B78" s="264">
        <v>367.24</v>
      </c>
      <c r="C78" s="264">
        <v>457.81</v>
      </c>
      <c r="D78" s="264">
        <v>673.53</v>
      </c>
      <c r="E78" s="264">
        <v>531.61</v>
      </c>
      <c r="F78" s="264">
        <v>561.04999999999995</v>
      </c>
      <c r="G78" s="264">
        <v>738.79</v>
      </c>
      <c r="H78" s="264">
        <v>234.98</v>
      </c>
      <c r="I78" s="264">
        <v>288.62</v>
      </c>
      <c r="J78" s="264">
        <v>2460.2800000000002</v>
      </c>
      <c r="K78" s="264">
        <v>2225.27</v>
      </c>
    </row>
    <row r="79" spans="1:11" ht="28">
      <c r="A79" s="266" t="s">
        <v>332</v>
      </c>
      <c r="B79" s="264">
        <v>367.24</v>
      </c>
      <c r="C79" s="264">
        <v>457.81</v>
      </c>
      <c r="D79" s="264">
        <v>671.12</v>
      </c>
      <c r="E79" s="264">
        <v>531.61</v>
      </c>
      <c r="F79" s="264">
        <v>553.32000000000005</v>
      </c>
      <c r="G79" s="264">
        <v>730.25</v>
      </c>
      <c r="H79" s="264">
        <v>225.22</v>
      </c>
      <c r="I79" s="264">
        <v>275.24</v>
      </c>
      <c r="J79" s="264">
        <v>2436.71</v>
      </c>
      <c r="K79" s="264">
        <v>2203.4699999999998</v>
      </c>
    </row>
    <row r="80" spans="1:11" ht="28">
      <c r="A80" s="268" t="s">
        <v>333</v>
      </c>
      <c r="B80" s="264">
        <v>367.24</v>
      </c>
      <c r="C80" s="264">
        <v>457.81</v>
      </c>
      <c r="D80" s="264">
        <v>671.12</v>
      </c>
      <c r="E80" s="264">
        <v>531.61</v>
      </c>
      <c r="F80" s="264">
        <v>553.32000000000005</v>
      </c>
      <c r="G80" s="264">
        <v>730.25</v>
      </c>
      <c r="H80" s="264">
        <v>225.22</v>
      </c>
      <c r="I80" s="264">
        <v>275.24</v>
      </c>
      <c r="J80" s="264">
        <v>2436.71</v>
      </c>
      <c r="K80" s="264">
        <v>2203.4699999999998</v>
      </c>
    </row>
    <row r="81" spans="1:11" ht="28">
      <c r="A81" s="266" t="s">
        <v>334</v>
      </c>
      <c r="B81" s="269"/>
      <c r="C81" s="269"/>
      <c r="D81" s="265">
        <v>2.41</v>
      </c>
      <c r="E81" s="269"/>
      <c r="F81" s="265">
        <v>7.73</v>
      </c>
      <c r="G81" s="265">
        <v>8.5299999999999994</v>
      </c>
      <c r="H81" s="265">
        <v>9.76</v>
      </c>
      <c r="I81" s="265">
        <v>13.38</v>
      </c>
      <c r="J81" s="265">
        <v>23.56</v>
      </c>
      <c r="K81" s="265">
        <v>21.8</v>
      </c>
    </row>
    <row r="82" spans="1:11" ht="28">
      <c r="A82" s="263" t="s">
        <v>335</v>
      </c>
      <c r="B82" s="264">
        <v>110.59</v>
      </c>
      <c r="C82" s="265">
        <v>64.900000000000006</v>
      </c>
      <c r="D82" s="265">
        <v>59.03</v>
      </c>
      <c r="E82" s="265">
        <v>46.64</v>
      </c>
      <c r="F82" s="265">
        <v>51.5</v>
      </c>
      <c r="G82" s="265">
        <v>55.66</v>
      </c>
      <c r="H82" s="265">
        <v>40.76</v>
      </c>
      <c r="I82" s="265">
        <v>71.16</v>
      </c>
      <c r="J82" s="264">
        <v>131.85</v>
      </c>
      <c r="K82" s="264">
        <v>114.16</v>
      </c>
    </row>
    <row r="83" spans="1:11" ht="28">
      <c r="A83" s="266" t="s">
        <v>336</v>
      </c>
      <c r="B83" s="264">
        <v>110.59</v>
      </c>
      <c r="C83" s="265">
        <v>64.900000000000006</v>
      </c>
      <c r="D83" s="265">
        <v>59.03</v>
      </c>
      <c r="E83" s="265">
        <v>46.64</v>
      </c>
      <c r="F83" s="265">
        <v>51.5</v>
      </c>
      <c r="G83" s="265">
        <v>55.66</v>
      </c>
      <c r="H83" s="265">
        <v>40.76</v>
      </c>
      <c r="I83" s="265">
        <v>71.16</v>
      </c>
      <c r="J83" s="264">
        <v>131.85</v>
      </c>
      <c r="K83" s="264">
        <v>114.16</v>
      </c>
    </row>
    <row r="84" spans="1:11" ht="28">
      <c r="A84" s="263" t="s">
        <v>337</v>
      </c>
      <c r="B84" s="269"/>
      <c r="C84" s="269"/>
      <c r="D84" s="269"/>
      <c r="E84" s="269"/>
      <c r="F84" s="269"/>
      <c r="G84" s="265">
        <v>44.11</v>
      </c>
      <c r="H84" s="265">
        <v>61.83</v>
      </c>
      <c r="I84" s="265">
        <v>76.97</v>
      </c>
      <c r="J84" s="264">
        <v>104.76</v>
      </c>
      <c r="K84" s="264">
        <v>113.46</v>
      </c>
    </row>
    <row r="85" spans="1:11" ht="28">
      <c r="A85" s="263" t="s">
        <v>338</v>
      </c>
      <c r="B85" s="264">
        <v>105.62</v>
      </c>
      <c r="C85" s="264">
        <v>114.06</v>
      </c>
      <c r="D85" s="264">
        <v>151.03</v>
      </c>
      <c r="E85" s="264">
        <v>157.66</v>
      </c>
      <c r="F85" s="264">
        <v>184.6</v>
      </c>
      <c r="G85" s="264">
        <v>236.18</v>
      </c>
      <c r="H85" s="264">
        <v>316.43</v>
      </c>
      <c r="I85" s="264">
        <v>261.98</v>
      </c>
      <c r="J85" s="264">
        <v>274.88</v>
      </c>
      <c r="K85" s="264">
        <v>412.53</v>
      </c>
    </row>
    <row r="86" spans="1:11" ht="28">
      <c r="A86" s="266" t="s">
        <v>339</v>
      </c>
      <c r="B86" s="269"/>
      <c r="C86" s="269"/>
      <c r="D86" s="269"/>
      <c r="E86" s="269"/>
      <c r="F86" s="269"/>
      <c r="G86" s="269"/>
      <c r="H86" s="269"/>
      <c r="I86" s="269"/>
      <c r="J86" s="269"/>
      <c r="K86" s="265">
        <v>61.84</v>
      </c>
    </row>
    <row r="87" spans="1:11">
      <c r="A87" s="266" t="s">
        <v>340</v>
      </c>
      <c r="B87" s="264">
        <v>105.62</v>
      </c>
      <c r="C87" s="264">
        <v>114.06</v>
      </c>
      <c r="D87" s="264">
        <v>151.03</v>
      </c>
      <c r="E87" s="264">
        <v>157.66</v>
      </c>
      <c r="F87" s="264">
        <v>184.6</v>
      </c>
      <c r="G87" s="264">
        <v>236.18</v>
      </c>
      <c r="H87" s="264">
        <v>316.43</v>
      </c>
      <c r="I87" s="264">
        <v>261.98</v>
      </c>
      <c r="J87" s="264">
        <v>274.88</v>
      </c>
      <c r="K87" s="264">
        <v>350.69</v>
      </c>
    </row>
    <row r="88" spans="1:11">
      <c r="A88" s="263" t="s">
        <v>341</v>
      </c>
      <c r="B88" s="265">
        <v>91.28</v>
      </c>
      <c r="C88" s="265">
        <v>99.51</v>
      </c>
      <c r="D88" s="264">
        <v>131.12</v>
      </c>
      <c r="E88" s="264">
        <v>132.05000000000001</v>
      </c>
      <c r="F88" s="264">
        <v>188.26</v>
      </c>
      <c r="G88" s="264">
        <v>221.21</v>
      </c>
      <c r="H88" s="264">
        <v>252.59</v>
      </c>
      <c r="I88" s="264">
        <v>327.60000000000002</v>
      </c>
      <c r="J88" s="264">
        <v>364.81</v>
      </c>
      <c r="K88" s="264">
        <v>366.16</v>
      </c>
    </row>
    <row r="89" spans="1:11">
      <c r="A89" s="263" t="s">
        <v>342</v>
      </c>
      <c r="B89" s="264">
        <v>674.73</v>
      </c>
      <c r="C89" s="264">
        <v>736.29</v>
      </c>
      <c r="D89" s="264">
        <v>1014.7</v>
      </c>
      <c r="E89" s="264">
        <v>867.96</v>
      </c>
      <c r="F89" s="264">
        <v>985.41</v>
      </c>
      <c r="G89" s="264">
        <v>1295.94</v>
      </c>
      <c r="H89" s="264">
        <v>906.59</v>
      </c>
      <c r="I89" s="264">
        <v>1026.33</v>
      </c>
      <c r="J89" s="264">
        <v>3336.57</v>
      </c>
      <c r="K89" s="264">
        <v>3231.57</v>
      </c>
    </row>
    <row r="90" spans="1:11">
      <c r="A90" s="261" t="s">
        <v>343</v>
      </c>
      <c r="B90" s="262"/>
      <c r="C90" s="262"/>
      <c r="D90" s="262"/>
      <c r="E90" s="262"/>
      <c r="F90" s="262"/>
      <c r="G90" s="262"/>
      <c r="H90" s="262"/>
      <c r="I90" s="262"/>
      <c r="J90" s="262"/>
      <c r="K90" s="262"/>
    </row>
    <row r="91" spans="1:11">
      <c r="A91" s="271" t="s">
        <v>343</v>
      </c>
      <c r="B91" s="272">
        <v>843.12</v>
      </c>
      <c r="C91" s="272">
        <v>950.71</v>
      </c>
      <c r="D91" s="272">
        <v>1264.1400000000001</v>
      </c>
      <c r="E91" s="272">
        <v>1150.3900000000001</v>
      </c>
      <c r="F91" s="272">
        <v>1274.55</v>
      </c>
      <c r="G91" s="272">
        <v>1537.1</v>
      </c>
      <c r="H91" s="272">
        <v>1201.47</v>
      </c>
      <c r="I91" s="272">
        <v>1447.19</v>
      </c>
      <c r="J91" s="272">
        <v>4001.91</v>
      </c>
      <c r="K91" s="272">
        <v>3895.42</v>
      </c>
    </row>
    <row r="92" spans="1:11">
      <c r="A92" s="261" t="s">
        <v>344</v>
      </c>
      <c r="B92" s="262"/>
      <c r="C92" s="262"/>
      <c r="D92" s="262"/>
      <c r="E92" s="262"/>
      <c r="F92" s="262"/>
      <c r="G92" s="262"/>
      <c r="H92" s="262"/>
      <c r="I92" s="262"/>
      <c r="J92" s="262"/>
      <c r="K92" s="262"/>
    </row>
    <row r="93" spans="1:11" ht="42">
      <c r="A93" s="263" t="s">
        <v>345</v>
      </c>
      <c r="B93" s="264">
        <v>809.86</v>
      </c>
      <c r="C93" s="264">
        <v>963.38</v>
      </c>
      <c r="D93" s="264">
        <v>1161.08</v>
      </c>
      <c r="E93" s="264">
        <v>1398.25</v>
      </c>
      <c r="F93" s="264">
        <v>1666.54</v>
      </c>
      <c r="G93" s="264">
        <v>1980.18</v>
      </c>
      <c r="H93" s="264">
        <v>2263.0700000000002</v>
      </c>
      <c r="I93" s="264">
        <v>2606.14</v>
      </c>
      <c r="J93" s="264">
        <v>3146</v>
      </c>
      <c r="K93" s="264">
        <v>3636.88</v>
      </c>
    </row>
    <row r="94" spans="1:11">
      <c r="A94" s="266" t="s">
        <v>346</v>
      </c>
      <c r="B94" s="269"/>
      <c r="C94" s="269"/>
      <c r="D94" s="269"/>
      <c r="E94" s="269">
        <v>0</v>
      </c>
      <c r="F94" s="269">
        <v>0</v>
      </c>
      <c r="G94" s="269">
        <v>0</v>
      </c>
      <c r="H94" s="269">
        <v>0</v>
      </c>
      <c r="I94" s="269"/>
      <c r="J94" s="269">
        <v>0</v>
      </c>
      <c r="K94" s="269"/>
    </row>
    <row r="95" spans="1:11" ht="28">
      <c r="A95" s="268" t="s">
        <v>347</v>
      </c>
      <c r="B95" s="269"/>
      <c r="C95" s="269"/>
      <c r="D95" s="269"/>
      <c r="E95" s="269">
        <v>0</v>
      </c>
      <c r="F95" s="269">
        <v>0</v>
      </c>
      <c r="G95" s="269">
        <v>0</v>
      </c>
      <c r="H95" s="269">
        <v>0</v>
      </c>
      <c r="I95" s="269"/>
      <c r="J95" s="269">
        <v>0</v>
      </c>
      <c r="K95" s="269"/>
    </row>
    <row r="96" spans="1:11" ht="28">
      <c r="A96" s="266" t="s">
        <v>348</v>
      </c>
      <c r="B96" s="264">
        <v>809.86</v>
      </c>
      <c r="C96" s="264">
        <v>963.38</v>
      </c>
      <c r="D96" s="264">
        <v>1161.08</v>
      </c>
      <c r="E96" s="264">
        <v>1398.25</v>
      </c>
      <c r="F96" s="264">
        <v>1666.54</v>
      </c>
      <c r="G96" s="264">
        <v>1980.18</v>
      </c>
      <c r="H96" s="264">
        <v>2263.0700000000002</v>
      </c>
      <c r="I96" s="264">
        <v>2606.14</v>
      </c>
      <c r="J96" s="264">
        <v>3146</v>
      </c>
      <c r="K96" s="264">
        <v>3636.88</v>
      </c>
    </row>
    <row r="97" spans="1:11" ht="28">
      <c r="A97" s="268" t="s">
        <v>349</v>
      </c>
      <c r="B97" s="264">
        <v>286.89</v>
      </c>
      <c r="C97" s="264">
        <v>307</v>
      </c>
      <c r="D97" s="264">
        <v>327.39</v>
      </c>
      <c r="E97" s="264">
        <v>322.32</v>
      </c>
      <c r="F97" s="264">
        <v>285.95</v>
      </c>
      <c r="G97" s="264">
        <v>301.27999999999997</v>
      </c>
      <c r="H97" s="264">
        <v>322.10000000000002</v>
      </c>
      <c r="I97" s="264">
        <v>398.7</v>
      </c>
      <c r="J97" s="264">
        <v>580.19000000000005</v>
      </c>
      <c r="K97" s="264">
        <v>600.79</v>
      </c>
    </row>
    <row r="98" spans="1:11" ht="28">
      <c r="A98" s="277" t="s">
        <v>350</v>
      </c>
      <c r="B98" s="265">
        <v>0.67</v>
      </c>
      <c r="C98" s="265">
        <v>0.67</v>
      </c>
      <c r="D98" s="265">
        <v>0.85</v>
      </c>
      <c r="E98" s="265">
        <v>1.33</v>
      </c>
      <c r="F98" s="265">
        <v>1.35</v>
      </c>
      <c r="G98" s="265">
        <v>1.35</v>
      </c>
      <c r="H98" s="265">
        <v>1.36</v>
      </c>
      <c r="I98" s="265">
        <v>1.37</v>
      </c>
      <c r="J98" s="265">
        <v>1.38</v>
      </c>
      <c r="K98" s="265">
        <v>1.39</v>
      </c>
    </row>
    <row r="99" spans="1:11" ht="56">
      <c r="A99" s="277" t="s">
        <v>351</v>
      </c>
      <c r="B99" s="264">
        <v>286.22000000000003</v>
      </c>
      <c r="C99" s="264">
        <v>306.33</v>
      </c>
      <c r="D99" s="264">
        <v>326.54000000000002</v>
      </c>
      <c r="E99" s="264">
        <v>320.99</v>
      </c>
      <c r="F99" s="264">
        <v>284.61</v>
      </c>
      <c r="G99" s="264">
        <v>299.93</v>
      </c>
      <c r="H99" s="264">
        <v>320.75</v>
      </c>
      <c r="I99" s="264">
        <v>397.34</v>
      </c>
      <c r="J99" s="264">
        <v>578.80999999999995</v>
      </c>
      <c r="K99" s="264">
        <v>599.4</v>
      </c>
    </row>
    <row r="100" spans="1:11" ht="42">
      <c r="A100" s="268" t="s">
        <v>352</v>
      </c>
      <c r="B100" s="264">
        <v>522.97</v>
      </c>
      <c r="C100" s="264">
        <v>656.38</v>
      </c>
      <c r="D100" s="264">
        <v>833.69</v>
      </c>
      <c r="E100" s="264">
        <v>1075.93</v>
      </c>
      <c r="F100" s="264">
        <v>1380.59</v>
      </c>
      <c r="G100" s="264">
        <v>1678.9</v>
      </c>
      <c r="H100" s="264">
        <v>1940.97</v>
      </c>
      <c r="I100" s="264">
        <v>2207.4299999999998</v>
      </c>
      <c r="J100" s="264">
        <v>2565.8000000000002</v>
      </c>
      <c r="K100" s="264">
        <v>3036.09</v>
      </c>
    </row>
    <row r="101" spans="1:11" ht="28">
      <c r="A101" s="277" t="s">
        <v>353</v>
      </c>
      <c r="B101" s="264">
        <v>548.04999999999995</v>
      </c>
      <c r="C101" s="264">
        <v>681.7</v>
      </c>
      <c r="D101" s="264">
        <v>844.25</v>
      </c>
      <c r="E101" s="264">
        <v>1091.18</v>
      </c>
      <c r="F101" s="264">
        <v>1397.33</v>
      </c>
      <c r="G101" s="264">
        <v>1688.05</v>
      </c>
      <c r="H101" s="264">
        <v>1949.52</v>
      </c>
      <c r="I101" s="264">
        <v>2253.9299999999998</v>
      </c>
      <c r="J101" s="264">
        <v>2605.98</v>
      </c>
      <c r="K101" s="264">
        <v>3062.17</v>
      </c>
    </row>
    <row r="102" spans="1:11" ht="28">
      <c r="A102" s="277" t="s">
        <v>354</v>
      </c>
      <c r="B102" s="267">
        <v>-23.3</v>
      </c>
      <c r="C102" s="267">
        <v>-22.87</v>
      </c>
      <c r="D102" s="267">
        <v>-7.44</v>
      </c>
      <c r="E102" s="267">
        <v>-11.33</v>
      </c>
      <c r="F102" s="267">
        <v>-12.51</v>
      </c>
      <c r="G102" s="267">
        <v>-4.26</v>
      </c>
      <c r="H102" s="267">
        <v>-3.25</v>
      </c>
      <c r="I102" s="267">
        <v>-41.2</v>
      </c>
      <c r="J102" s="267">
        <v>-33.86</v>
      </c>
      <c r="K102" s="267">
        <v>-18.8</v>
      </c>
    </row>
    <row r="103" spans="1:11" ht="56">
      <c r="A103" s="278" t="s">
        <v>355</v>
      </c>
      <c r="B103" s="269"/>
      <c r="C103" s="267">
        <v>-23.95</v>
      </c>
      <c r="D103" s="267">
        <v>-9.5299999999999994</v>
      </c>
      <c r="E103" s="269"/>
      <c r="F103" s="269"/>
      <c r="G103" s="267">
        <v>-6.46</v>
      </c>
      <c r="H103" s="267">
        <v>-6.99</v>
      </c>
      <c r="I103" s="267">
        <v>-45.37</v>
      </c>
      <c r="J103" s="267">
        <v>-39.159999999999997</v>
      </c>
      <c r="K103" s="267">
        <v>-25.67</v>
      </c>
    </row>
    <row r="104" spans="1:11" ht="42">
      <c r="A104" s="278" t="s">
        <v>356</v>
      </c>
      <c r="B104" s="269"/>
      <c r="C104" s="267">
        <v>-1.37</v>
      </c>
      <c r="D104" s="267">
        <v>-1.02</v>
      </c>
      <c r="E104" s="269"/>
      <c r="F104" s="269"/>
      <c r="G104" s="267">
        <v>-2.69</v>
      </c>
      <c r="H104" s="267">
        <v>-1.56</v>
      </c>
      <c r="I104" s="267">
        <v>-1.1299999999999999</v>
      </c>
      <c r="J104" s="267">
        <v>-1.01</v>
      </c>
      <c r="K104" s="267">
        <v>-0.41</v>
      </c>
    </row>
    <row r="105" spans="1:11" ht="42">
      <c r="A105" s="278" t="s">
        <v>357</v>
      </c>
      <c r="B105" s="265">
        <v>1.78</v>
      </c>
      <c r="C105" s="265">
        <v>2.46</v>
      </c>
      <c r="D105" s="265">
        <v>3.12</v>
      </c>
      <c r="E105" s="265">
        <v>3.93</v>
      </c>
      <c r="F105" s="265">
        <v>4.2300000000000004</v>
      </c>
      <c r="G105" s="265">
        <v>4.8899999999999997</v>
      </c>
      <c r="H105" s="265">
        <v>5.3</v>
      </c>
      <c r="I105" s="265">
        <v>5.3</v>
      </c>
      <c r="J105" s="265">
        <v>6.32</v>
      </c>
      <c r="K105" s="265">
        <v>7.27</v>
      </c>
    </row>
    <row r="106" spans="1:11" ht="42">
      <c r="A106" s="278" t="s">
        <v>358</v>
      </c>
      <c r="B106" s="267">
        <v>-25.08</v>
      </c>
      <c r="C106" s="269"/>
      <c r="D106" s="269"/>
      <c r="E106" s="267">
        <v>-15.26</v>
      </c>
      <c r="F106" s="267">
        <v>-16.739999999999998</v>
      </c>
      <c r="G106" s="269"/>
      <c r="H106" s="269"/>
      <c r="I106" s="269"/>
      <c r="J106" s="269"/>
      <c r="K106" s="269"/>
    </row>
    <row r="107" spans="1:11" ht="28">
      <c r="A107" s="277" t="s">
        <v>359</v>
      </c>
      <c r="B107" s="267">
        <v>-1.78</v>
      </c>
      <c r="C107" s="267">
        <v>-2.46</v>
      </c>
      <c r="D107" s="267">
        <v>-3.12</v>
      </c>
      <c r="E107" s="267">
        <v>-3.93</v>
      </c>
      <c r="F107" s="267">
        <v>-4.2300000000000004</v>
      </c>
      <c r="G107" s="267">
        <v>-4.8899999999999997</v>
      </c>
      <c r="H107" s="267">
        <v>-5.3</v>
      </c>
      <c r="I107" s="267">
        <v>-5.3</v>
      </c>
      <c r="J107" s="267">
        <v>-6.32</v>
      </c>
      <c r="K107" s="267">
        <v>-7.27</v>
      </c>
    </row>
    <row r="108" spans="1:11">
      <c r="A108" s="266" t="s">
        <v>360</v>
      </c>
      <c r="B108" s="264">
        <v>809.86</v>
      </c>
      <c r="C108" s="264">
        <v>963.38</v>
      </c>
      <c r="D108" s="264">
        <v>1161.08</v>
      </c>
      <c r="E108" s="264">
        <v>1398.25</v>
      </c>
      <c r="F108" s="264">
        <v>1666.54</v>
      </c>
      <c r="G108" s="264">
        <v>1980.18</v>
      </c>
      <c r="H108" s="264">
        <v>2263.0700000000002</v>
      </c>
      <c r="I108" s="264">
        <v>2606.14</v>
      </c>
      <c r="J108" s="264">
        <v>3146</v>
      </c>
      <c r="K108" s="264">
        <v>3636.88</v>
      </c>
    </row>
    <row r="109" spans="1:11">
      <c r="A109" s="263" t="s">
        <v>361</v>
      </c>
      <c r="B109" s="265">
        <v>83.41</v>
      </c>
      <c r="C109" s="265">
        <v>84.33</v>
      </c>
      <c r="D109" s="265">
        <v>87.21</v>
      </c>
      <c r="E109" s="264">
        <v>104.76</v>
      </c>
      <c r="F109" s="265">
        <v>28.12</v>
      </c>
      <c r="G109" s="265">
        <v>30.43</v>
      </c>
      <c r="H109" s="265">
        <v>33.869999999999997</v>
      </c>
      <c r="I109" s="265">
        <v>42.17</v>
      </c>
      <c r="J109" s="265">
        <v>47.16</v>
      </c>
      <c r="K109" s="265">
        <v>60.53</v>
      </c>
    </row>
    <row r="110" spans="1:11">
      <c r="A110" s="261" t="s">
        <v>362</v>
      </c>
      <c r="B110" s="262"/>
      <c r="C110" s="262"/>
      <c r="D110" s="262"/>
      <c r="E110" s="262"/>
      <c r="F110" s="262"/>
      <c r="G110" s="262"/>
      <c r="H110" s="262"/>
      <c r="I110" s="262"/>
      <c r="J110" s="262"/>
      <c r="K110" s="262"/>
    </row>
    <row r="111" spans="1:11" ht="42">
      <c r="A111" s="271" t="s">
        <v>363</v>
      </c>
      <c r="B111" s="272">
        <v>893.27</v>
      </c>
      <c r="C111" s="272">
        <v>1047.71</v>
      </c>
      <c r="D111" s="272">
        <v>1248.29</v>
      </c>
      <c r="E111" s="272">
        <v>1503.01</v>
      </c>
      <c r="F111" s="272">
        <v>1694.66</v>
      </c>
      <c r="G111" s="272">
        <v>2010.61</v>
      </c>
      <c r="H111" s="272">
        <v>2296.94</v>
      </c>
      <c r="I111" s="272">
        <v>2648.31</v>
      </c>
      <c r="J111" s="272">
        <v>3193.15</v>
      </c>
      <c r="K111" s="272">
        <v>3697.41</v>
      </c>
    </row>
    <row r="112" spans="1:11" ht="28">
      <c r="A112" s="261" t="s">
        <v>364</v>
      </c>
      <c r="B112" s="262"/>
      <c r="C112" s="262"/>
      <c r="D112" s="262"/>
      <c r="E112" s="262"/>
      <c r="F112" s="262"/>
      <c r="G112" s="262"/>
      <c r="H112" s="262"/>
      <c r="I112" s="262"/>
      <c r="J112" s="262"/>
      <c r="K112" s="262"/>
    </row>
    <row r="113" spans="1:11">
      <c r="A113" s="271" t="s">
        <v>365</v>
      </c>
      <c r="B113" s="272">
        <v>1736.39</v>
      </c>
      <c r="C113" s="272">
        <v>1998.41</v>
      </c>
      <c r="D113" s="272">
        <v>2512.4299999999998</v>
      </c>
      <c r="E113" s="272">
        <v>2653.4</v>
      </c>
      <c r="F113" s="272">
        <v>2969.21</v>
      </c>
      <c r="G113" s="272">
        <v>3547.71</v>
      </c>
      <c r="H113" s="272">
        <v>3498.41</v>
      </c>
      <c r="I113" s="272">
        <v>4095.5</v>
      </c>
      <c r="J113" s="272">
        <v>7195.06</v>
      </c>
      <c r="K113" s="272">
        <v>7592.82</v>
      </c>
    </row>
    <row r="114" spans="1:11">
      <c r="A114" s="261" t="s">
        <v>366</v>
      </c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</row>
    <row r="115" spans="1:11" ht="28">
      <c r="A115" s="263" t="s">
        <v>367</v>
      </c>
      <c r="B115" s="264">
        <v>130.61000000000001</v>
      </c>
      <c r="C115" s="264">
        <v>131.41999999999999</v>
      </c>
      <c r="D115" s="264">
        <v>132</v>
      </c>
      <c r="E115" s="264">
        <v>132.93</v>
      </c>
      <c r="F115" s="264">
        <v>134.5</v>
      </c>
      <c r="G115" s="264">
        <v>135.12</v>
      </c>
      <c r="H115" s="264">
        <v>135.49</v>
      </c>
      <c r="I115" s="264">
        <v>136.61000000000001</v>
      </c>
      <c r="J115" s="264">
        <v>138.22999999999999</v>
      </c>
      <c r="K115" s="264">
        <v>138.81</v>
      </c>
    </row>
    <row r="116" spans="1:11" ht="28">
      <c r="A116" s="266" t="s">
        <v>368</v>
      </c>
      <c r="B116" s="264">
        <v>130.61000000000001</v>
      </c>
      <c r="C116" s="264">
        <v>131.41999999999999</v>
      </c>
      <c r="D116" s="264">
        <v>132</v>
      </c>
      <c r="E116" s="264">
        <v>132.93</v>
      </c>
      <c r="F116" s="264">
        <v>134.5</v>
      </c>
      <c r="G116" s="264">
        <v>135.12</v>
      </c>
      <c r="H116" s="264">
        <v>135.49</v>
      </c>
      <c r="I116" s="264">
        <v>136.61000000000001</v>
      </c>
      <c r="J116" s="264">
        <v>138.22999999999999</v>
      </c>
      <c r="K116" s="264">
        <v>138.81</v>
      </c>
    </row>
    <row r="117" spans="1:11" ht="28">
      <c r="A117" s="266" t="s">
        <v>369</v>
      </c>
      <c r="B117" s="269">
        <v>0</v>
      </c>
      <c r="C117" s="269">
        <v>0</v>
      </c>
      <c r="D117" s="269">
        <v>0</v>
      </c>
      <c r="E117" s="269">
        <v>0</v>
      </c>
      <c r="F117" s="269">
        <v>0</v>
      </c>
      <c r="G117" s="269">
        <v>0</v>
      </c>
      <c r="H117" s="269">
        <v>0</v>
      </c>
      <c r="I117" s="269">
        <v>0</v>
      </c>
      <c r="J117" s="269">
        <v>0</v>
      </c>
      <c r="K117" s="269">
        <v>0</v>
      </c>
    </row>
    <row r="118" spans="1:11" ht="28">
      <c r="A118" s="263" t="s">
        <v>370</v>
      </c>
      <c r="B118" s="264">
        <v>146.47999999999999</v>
      </c>
      <c r="C118" s="264">
        <v>117.19</v>
      </c>
      <c r="D118" s="264">
        <v>117.19</v>
      </c>
      <c r="E118" s="264">
        <v>150</v>
      </c>
      <c r="F118" s="264">
        <v>150</v>
      </c>
      <c r="G118" s="264">
        <v>150</v>
      </c>
      <c r="H118" s="264">
        <v>150</v>
      </c>
      <c r="I118" s="264">
        <v>150</v>
      </c>
      <c r="J118" s="264">
        <v>150</v>
      </c>
      <c r="K118" s="264">
        <v>150</v>
      </c>
    </row>
    <row r="119" spans="1:11" ht="28">
      <c r="A119" s="263" t="s">
        <v>370</v>
      </c>
      <c r="B119" s="264">
        <v>146.47999999999999</v>
      </c>
      <c r="C119" s="264">
        <v>117.19</v>
      </c>
      <c r="D119" s="264">
        <v>117.19</v>
      </c>
      <c r="E119" s="264">
        <v>150</v>
      </c>
      <c r="F119" s="264">
        <v>150</v>
      </c>
      <c r="G119" s="264">
        <v>150</v>
      </c>
      <c r="H119" s="264">
        <v>150</v>
      </c>
      <c r="I119" s="264">
        <v>150</v>
      </c>
      <c r="J119" s="264">
        <v>150</v>
      </c>
      <c r="K119" s="264">
        <v>150</v>
      </c>
    </row>
    <row r="120" spans="1:11" ht="28">
      <c r="A120" s="263" t="s">
        <v>371</v>
      </c>
      <c r="B120" s="265">
        <v>78.06</v>
      </c>
      <c r="C120" s="265">
        <v>78.739999999999995</v>
      </c>
      <c r="D120" s="265">
        <v>79.23</v>
      </c>
      <c r="E120" s="265">
        <v>79.58</v>
      </c>
      <c r="F120" s="265">
        <v>80.349999999999994</v>
      </c>
      <c r="G120" s="265">
        <v>80.92</v>
      </c>
      <c r="H120" s="265">
        <v>81.22</v>
      </c>
      <c r="I120" s="265">
        <v>82.09</v>
      </c>
      <c r="J120" s="265">
        <v>83.51</v>
      </c>
      <c r="K120" s="265">
        <v>83.83</v>
      </c>
    </row>
    <row r="121" spans="1:11" ht="28">
      <c r="A121" s="266" t="s">
        <v>372</v>
      </c>
      <c r="B121" s="265">
        <v>78.06</v>
      </c>
      <c r="C121" s="265">
        <v>78.739999999999995</v>
      </c>
      <c r="D121" s="265">
        <v>79.23</v>
      </c>
      <c r="E121" s="265">
        <v>79.58</v>
      </c>
      <c r="F121" s="265">
        <v>80.349999999999994</v>
      </c>
      <c r="G121" s="265">
        <v>80.92</v>
      </c>
      <c r="H121" s="265">
        <v>81.22</v>
      </c>
      <c r="I121" s="265">
        <v>82.09</v>
      </c>
      <c r="J121" s="265">
        <v>83.51</v>
      </c>
      <c r="K121" s="265">
        <v>83.83</v>
      </c>
    </row>
    <row r="122" spans="1:11" ht="28">
      <c r="A122" s="266" t="s">
        <v>373</v>
      </c>
      <c r="B122" s="269">
        <v>0</v>
      </c>
      <c r="C122" s="269">
        <v>0</v>
      </c>
      <c r="D122" s="269">
        <v>0</v>
      </c>
      <c r="E122" s="269">
        <v>0</v>
      </c>
      <c r="F122" s="269">
        <v>0</v>
      </c>
      <c r="G122" s="269">
        <v>0</v>
      </c>
      <c r="H122" s="269">
        <v>0</v>
      </c>
      <c r="I122" s="269">
        <v>0</v>
      </c>
      <c r="J122" s="269">
        <v>0</v>
      </c>
      <c r="K122" s="269">
        <v>0</v>
      </c>
    </row>
    <row r="123" spans="1:11" ht="28">
      <c r="A123" s="263" t="s">
        <v>371</v>
      </c>
      <c r="B123" s="265">
        <v>52.55</v>
      </c>
      <c r="C123" s="265">
        <v>52.68</v>
      </c>
      <c r="D123" s="265">
        <v>52.78</v>
      </c>
      <c r="E123" s="265">
        <v>53.36</v>
      </c>
      <c r="F123" s="265">
        <v>54.14</v>
      </c>
      <c r="G123" s="265">
        <v>54.2</v>
      </c>
      <c r="H123" s="265">
        <v>54.26</v>
      </c>
      <c r="I123" s="265">
        <v>54.52</v>
      </c>
      <c r="J123" s="265">
        <v>54.72</v>
      </c>
      <c r="K123" s="265">
        <v>54.99</v>
      </c>
    </row>
    <row r="124" spans="1:11" ht="28">
      <c r="A124" s="266" t="s">
        <v>372</v>
      </c>
      <c r="B124" s="265">
        <v>52.55</v>
      </c>
      <c r="C124" s="265">
        <v>52.68</v>
      </c>
      <c r="D124" s="265">
        <v>52.78</v>
      </c>
      <c r="E124" s="265">
        <v>53.36</v>
      </c>
      <c r="F124" s="265">
        <v>54.14</v>
      </c>
      <c r="G124" s="265">
        <v>54.2</v>
      </c>
      <c r="H124" s="265">
        <v>54.26</v>
      </c>
      <c r="I124" s="265">
        <v>54.52</v>
      </c>
      <c r="J124" s="265">
        <v>54.72</v>
      </c>
      <c r="K124" s="265">
        <v>54.99</v>
      </c>
    </row>
    <row r="125" spans="1:11" ht="28">
      <c r="A125" s="266" t="s">
        <v>373</v>
      </c>
      <c r="B125" s="269">
        <v>0</v>
      </c>
      <c r="C125" s="269">
        <v>0</v>
      </c>
      <c r="D125" s="269">
        <v>0</v>
      </c>
      <c r="E125" s="269">
        <v>0</v>
      </c>
      <c r="F125" s="269">
        <v>0</v>
      </c>
      <c r="G125" s="269">
        <v>0</v>
      </c>
      <c r="H125" s="269">
        <v>0</v>
      </c>
      <c r="I125" s="269">
        <v>0</v>
      </c>
      <c r="J125" s="269">
        <v>0</v>
      </c>
      <c r="K125" s="269">
        <v>0</v>
      </c>
    </row>
    <row r="126" spans="1:11">
      <c r="A126" s="261" t="s">
        <v>374</v>
      </c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</row>
    <row r="127" spans="1:11" ht="28">
      <c r="A127" s="263" t="s">
        <v>375</v>
      </c>
      <c r="B127" s="265">
        <v>0.6</v>
      </c>
      <c r="C127" s="265">
        <v>0.6</v>
      </c>
      <c r="D127" s="265">
        <v>0.6</v>
      </c>
      <c r="E127" s="265">
        <v>0.6</v>
      </c>
      <c r="F127" s="265">
        <v>0.6</v>
      </c>
      <c r="G127" s="265">
        <v>0.6</v>
      </c>
      <c r="H127" s="265">
        <v>0.6</v>
      </c>
      <c r="I127" s="265">
        <v>0.6</v>
      </c>
      <c r="J127" s="265">
        <v>0.6</v>
      </c>
      <c r="K127" s="265">
        <v>0.6</v>
      </c>
    </row>
    <row r="128" spans="1:11" ht="28">
      <c r="A128" s="263" t="s">
        <v>375</v>
      </c>
      <c r="B128" s="265">
        <v>0.4</v>
      </c>
      <c r="C128" s="265">
        <v>0.4</v>
      </c>
      <c r="D128" s="265">
        <v>0.4</v>
      </c>
      <c r="E128" s="265">
        <v>0.4</v>
      </c>
      <c r="F128" s="265">
        <v>0.4</v>
      </c>
      <c r="G128" s="265">
        <v>0.4</v>
      </c>
      <c r="H128" s="265">
        <v>0.4</v>
      </c>
      <c r="I128" s="265">
        <v>0.4</v>
      </c>
      <c r="J128" s="265">
        <v>0.4</v>
      </c>
      <c r="K128" s="265">
        <v>0.4</v>
      </c>
    </row>
    <row r="129" spans="1:11">
      <c r="A129" s="261" t="s">
        <v>376</v>
      </c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</row>
    <row r="130" spans="1:11" ht="28">
      <c r="A130" s="263" t="s">
        <v>377</v>
      </c>
      <c r="B130" s="269"/>
      <c r="C130" s="269"/>
      <c r="D130" s="269"/>
      <c r="E130" s="269"/>
      <c r="F130" s="269"/>
      <c r="G130" s="265">
        <v>67.61</v>
      </c>
      <c r="H130" s="265">
        <v>86.86</v>
      </c>
      <c r="I130" s="264">
        <v>105.54</v>
      </c>
      <c r="J130" s="264">
        <v>147.97999999999999</v>
      </c>
      <c r="K130" s="264">
        <v>155.86000000000001</v>
      </c>
    </row>
    <row r="131" spans="1:11" ht="42">
      <c r="A131" s="266" t="s">
        <v>378</v>
      </c>
      <c r="B131" s="269"/>
      <c r="C131" s="269"/>
      <c r="D131" s="269"/>
      <c r="E131" s="269"/>
      <c r="F131" s="269"/>
      <c r="G131" s="265">
        <v>57.1</v>
      </c>
      <c r="H131" s="265">
        <v>74.61</v>
      </c>
      <c r="I131" s="265">
        <v>89.75</v>
      </c>
      <c r="J131" s="264">
        <v>121.37</v>
      </c>
      <c r="K131" s="264">
        <v>131.84</v>
      </c>
    </row>
    <row r="132" spans="1:11" ht="42">
      <c r="A132" s="266" t="s">
        <v>379</v>
      </c>
      <c r="B132" s="269"/>
      <c r="C132" s="269"/>
      <c r="D132" s="269"/>
      <c r="E132" s="269"/>
      <c r="F132" s="269"/>
      <c r="G132" s="265">
        <v>10.51</v>
      </c>
      <c r="H132" s="265">
        <v>12.25</v>
      </c>
      <c r="I132" s="265">
        <v>15.79</v>
      </c>
      <c r="J132" s="265">
        <v>26.61</v>
      </c>
      <c r="K132" s="265">
        <v>24.02</v>
      </c>
    </row>
    <row r="133" spans="1:11" ht="42">
      <c r="A133" s="263" t="s">
        <v>380</v>
      </c>
      <c r="B133" s="269"/>
      <c r="C133" s="269"/>
      <c r="D133" s="269"/>
      <c r="E133" s="269"/>
      <c r="F133" s="269"/>
      <c r="G133" s="264">
        <v>158.34</v>
      </c>
      <c r="H133" s="264">
        <v>181.39</v>
      </c>
      <c r="I133" s="264">
        <v>210.09</v>
      </c>
      <c r="J133" s="264">
        <v>295.24</v>
      </c>
      <c r="K133" s="264">
        <v>315.01</v>
      </c>
    </row>
    <row r="134" spans="1:11">
      <c r="A134" s="261" t="s">
        <v>381</v>
      </c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</row>
    <row r="135" spans="1:11" ht="28">
      <c r="A135" s="263" t="s">
        <v>382</v>
      </c>
      <c r="B135" s="269"/>
      <c r="C135" s="269"/>
      <c r="D135" s="269"/>
      <c r="E135" s="269"/>
      <c r="F135" s="269"/>
      <c r="G135" s="265">
        <v>58.29</v>
      </c>
      <c r="H135" s="265">
        <v>75.7</v>
      </c>
      <c r="I135" s="265">
        <v>91.62</v>
      </c>
      <c r="J135" s="264">
        <v>125.26</v>
      </c>
      <c r="K135" s="264">
        <v>136.88</v>
      </c>
    </row>
    <row r="136" spans="1:11" ht="42">
      <c r="A136" s="266" t="s">
        <v>383</v>
      </c>
      <c r="B136" s="269"/>
      <c r="C136" s="269"/>
      <c r="D136" s="269"/>
      <c r="E136" s="269"/>
      <c r="F136" s="269"/>
      <c r="G136" s="265">
        <v>14.18</v>
      </c>
      <c r="H136" s="265">
        <v>13.87</v>
      </c>
      <c r="I136" s="265">
        <v>14.66</v>
      </c>
      <c r="J136" s="265">
        <v>20.5</v>
      </c>
      <c r="K136" s="265">
        <v>23.42</v>
      </c>
    </row>
    <row r="137" spans="1:11" ht="28">
      <c r="A137" s="266" t="s">
        <v>384</v>
      </c>
      <c r="B137" s="269"/>
      <c r="C137" s="269"/>
      <c r="D137" s="269"/>
      <c r="E137" s="269"/>
      <c r="F137" s="269"/>
      <c r="G137" s="265">
        <v>44.11</v>
      </c>
      <c r="H137" s="265">
        <v>61.83</v>
      </c>
      <c r="I137" s="265">
        <v>76.97</v>
      </c>
      <c r="J137" s="264">
        <v>104.76</v>
      </c>
      <c r="K137" s="264">
        <v>113.46</v>
      </c>
    </row>
    <row r="138" spans="1:11" ht="28">
      <c r="A138" s="263" t="s">
        <v>385</v>
      </c>
      <c r="B138" s="269"/>
      <c r="C138" s="265">
        <v>0.41</v>
      </c>
      <c r="D138" s="265">
        <v>2.86</v>
      </c>
      <c r="E138" s="269"/>
      <c r="F138" s="265">
        <v>7.73</v>
      </c>
      <c r="G138" s="265">
        <v>67.86</v>
      </c>
      <c r="H138" s="265">
        <v>86.95</v>
      </c>
      <c r="I138" s="264">
        <v>106.62</v>
      </c>
      <c r="J138" s="264">
        <v>153.08000000000001</v>
      </c>
      <c r="K138" s="264">
        <v>162.74</v>
      </c>
    </row>
    <row r="139" spans="1:11" ht="28">
      <c r="A139" s="263" t="s">
        <v>386</v>
      </c>
      <c r="B139" s="264">
        <v>367.6</v>
      </c>
      <c r="C139" s="264">
        <v>458.23</v>
      </c>
      <c r="D139" s="264">
        <v>673.98</v>
      </c>
      <c r="E139" s="264">
        <v>532.47</v>
      </c>
      <c r="F139" s="264">
        <v>561.96</v>
      </c>
      <c r="G139" s="264">
        <v>798.13</v>
      </c>
      <c r="H139" s="264">
        <v>312.2</v>
      </c>
      <c r="I139" s="264">
        <v>381.9</v>
      </c>
      <c r="J139" s="264">
        <v>2603.34</v>
      </c>
      <c r="K139" s="264">
        <v>2366.25</v>
      </c>
    </row>
    <row r="140" spans="1:11">
      <c r="A140" s="261" t="s">
        <v>387</v>
      </c>
      <c r="B140" s="262"/>
      <c r="C140" s="262"/>
      <c r="D140" s="262"/>
      <c r="E140" s="262"/>
      <c r="F140" s="262"/>
      <c r="G140" s="262"/>
      <c r="H140" s="262"/>
      <c r="I140" s="262"/>
      <c r="J140" s="262"/>
      <c r="K140" s="262"/>
    </row>
    <row r="141" spans="1:11">
      <c r="A141" s="263" t="s">
        <v>388</v>
      </c>
      <c r="B141" s="264">
        <v>181.59</v>
      </c>
      <c r="C141" s="264">
        <v>202.23</v>
      </c>
      <c r="D141" s="264">
        <v>222.46</v>
      </c>
      <c r="E141" s="264">
        <v>251.47</v>
      </c>
      <c r="F141" s="264">
        <v>317.45999999999998</v>
      </c>
      <c r="G141" s="264">
        <v>270.86</v>
      </c>
      <c r="H141" s="264">
        <v>324.99</v>
      </c>
      <c r="I141" s="264">
        <v>388.83</v>
      </c>
      <c r="J141" s="264">
        <v>620.78</v>
      </c>
      <c r="K141" s="264">
        <v>650.72</v>
      </c>
    </row>
    <row r="142" spans="1:11" ht="28">
      <c r="A142" s="266" t="s">
        <v>389</v>
      </c>
      <c r="B142" s="264">
        <v>183.63</v>
      </c>
      <c r="C142" s="264">
        <v>205.39</v>
      </c>
      <c r="D142" s="264">
        <v>225.46</v>
      </c>
      <c r="E142" s="264">
        <v>240.54</v>
      </c>
      <c r="F142" s="264">
        <v>277.99</v>
      </c>
      <c r="G142" s="264">
        <v>223.17</v>
      </c>
      <c r="H142" s="264">
        <v>255.79</v>
      </c>
      <c r="I142" s="264">
        <v>303.18</v>
      </c>
      <c r="J142" s="264">
        <v>521.70000000000005</v>
      </c>
      <c r="K142" s="264">
        <v>550.28</v>
      </c>
    </row>
    <row r="143" spans="1:11">
      <c r="A143" s="263" t="s">
        <v>390</v>
      </c>
      <c r="B143" s="264">
        <v>123.4</v>
      </c>
      <c r="C143" s="264">
        <v>101.06</v>
      </c>
      <c r="D143" s="264">
        <v>131.27000000000001</v>
      </c>
      <c r="E143" s="264">
        <v>143.66</v>
      </c>
      <c r="F143" s="264">
        <v>162.74</v>
      </c>
      <c r="G143" s="264">
        <v>193.93</v>
      </c>
      <c r="H143" s="264">
        <v>260.07</v>
      </c>
      <c r="I143" s="264">
        <v>221.38</v>
      </c>
      <c r="J143" s="264">
        <v>264.89</v>
      </c>
      <c r="K143" s="264">
        <v>344.59</v>
      </c>
    </row>
    <row r="144" spans="1:11" ht="28">
      <c r="A144" s="263" t="s">
        <v>391</v>
      </c>
      <c r="B144" s="265">
        <v>3.19</v>
      </c>
      <c r="C144" s="265">
        <v>4.62</v>
      </c>
      <c r="D144" s="265">
        <v>11.65</v>
      </c>
      <c r="E144" s="265">
        <v>2.84</v>
      </c>
      <c r="F144" s="265">
        <v>3.05</v>
      </c>
      <c r="G144" s="265">
        <v>1.65</v>
      </c>
      <c r="H144" s="265">
        <v>0.96</v>
      </c>
      <c r="I144" s="265">
        <v>12.46</v>
      </c>
      <c r="J144" s="265">
        <v>8.5500000000000007</v>
      </c>
      <c r="K144" s="265">
        <v>33.53</v>
      </c>
    </row>
    <row r="145" spans="1:11">
      <c r="A145" s="263" t="s">
        <v>392</v>
      </c>
      <c r="B145" s="264">
        <v>164.84</v>
      </c>
      <c r="C145" s="264">
        <v>159.79</v>
      </c>
      <c r="D145" s="264">
        <v>188.24</v>
      </c>
      <c r="E145" s="264">
        <v>278.73</v>
      </c>
      <c r="F145" s="264">
        <v>237.3</v>
      </c>
      <c r="G145" s="264">
        <v>175.11</v>
      </c>
      <c r="H145" s="264">
        <v>219.98</v>
      </c>
      <c r="I145" s="264">
        <v>294.18</v>
      </c>
      <c r="J145" s="264">
        <v>468.32</v>
      </c>
      <c r="K145" s="264">
        <v>510.45</v>
      </c>
    </row>
    <row r="146" spans="1:11" ht="28">
      <c r="A146" s="266" t="s">
        <v>393</v>
      </c>
      <c r="B146" s="265">
        <v>64.680000000000007</v>
      </c>
      <c r="C146" s="265">
        <v>73.33</v>
      </c>
      <c r="D146" s="265">
        <v>89.72</v>
      </c>
      <c r="E146" s="264">
        <v>107.22</v>
      </c>
      <c r="F146" s="264">
        <v>106.23</v>
      </c>
      <c r="G146" s="265">
        <v>76.239999999999995</v>
      </c>
      <c r="H146" s="265">
        <v>85.54</v>
      </c>
      <c r="I146" s="264">
        <v>116.55</v>
      </c>
      <c r="J146" s="264">
        <v>205.89</v>
      </c>
      <c r="K146" s="264">
        <v>198.43</v>
      </c>
    </row>
    <row r="147" spans="1:11">
      <c r="A147" s="266" t="s">
        <v>394</v>
      </c>
      <c r="B147" s="264">
        <v>100.16</v>
      </c>
      <c r="C147" s="265">
        <v>86.46</v>
      </c>
      <c r="D147" s="265">
        <v>98.51</v>
      </c>
      <c r="E147" s="264">
        <v>171.51</v>
      </c>
      <c r="F147" s="264">
        <v>131.08000000000001</v>
      </c>
      <c r="G147" s="265">
        <v>98.87</v>
      </c>
      <c r="H147" s="264">
        <v>134.44</v>
      </c>
      <c r="I147" s="264">
        <v>177.62</v>
      </c>
      <c r="J147" s="264">
        <v>262.42</v>
      </c>
      <c r="K147" s="264">
        <v>312.02</v>
      </c>
    </row>
    <row r="148" spans="1:11" ht="28">
      <c r="A148" s="263" t="s">
        <v>395</v>
      </c>
      <c r="B148" s="269"/>
      <c r="C148" s="265">
        <v>11.01</v>
      </c>
      <c r="D148" s="265">
        <v>1.25</v>
      </c>
      <c r="E148" s="269"/>
      <c r="F148" s="269"/>
      <c r="G148" s="269"/>
      <c r="H148" s="269"/>
      <c r="I148" s="269"/>
      <c r="J148" s="269"/>
      <c r="K148" s="269"/>
    </row>
    <row r="149" spans="1:11" ht="56">
      <c r="A149" s="263" t="s">
        <v>396</v>
      </c>
      <c r="B149" s="269"/>
      <c r="C149" s="269"/>
      <c r="D149" s="269"/>
      <c r="E149" s="265">
        <v>14.18</v>
      </c>
      <c r="F149" s="265">
        <v>43.13</v>
      </c>
      <c r="G149" s="265">
        <v>60.43</v>
      </c>
      <c r="H149" s="265">
        <v>80.069999999999993</v>
      </c>
      <c r="I149" s="265">
        <v>93.98</v>
      </c>
      <c r="J149" s="264">
        <v>111.7</v>
      </c>
      <c r="K149" s="264">
        <v>112.24</v>
      </c>
    </row>
    <row r="150" spans="1:11">
      <c r="A150" s="261" t="s">
        <v>397</v>
      </c>
      <c r="B150" s="262"/>
      <c r="C150" s="262"/>
      <c r="D150" s="262"/>
      <c r="E150" s="262"/>
      <c r="F150" s="262"/>
      <c r="G150" s="262"/>
      <c r="H150" s="262"/>
      <c r="I150" s="262"/>
      <c r="J150" s="262"/>
      <c r="K150" s="262"/>
    </row>
    <row r="151" spans="1:11">
      <c r="A151" s="263" t="s">
        <v>398</v>
      </c>
      <c r="B151" s="264">
        <v>334</v>
      </c>
      <c r="C151" s="264">
        <v>415.27</v>
      </c>
      <c r="D151" s="264">
        <v>621.91</v>
      </c>
      <c r="E151" s="264">
        <v>472.87</v>
      </c>
      <c r="F151" s="264">
        <v>504.95</v>
      </c>
      <c r="G151" s="264">
        <v>332.98</v>
      </c>
      <c r="H151" s="264">
        <v>128.19999999999999</v>
      </c>
      <c r="I151" s="264">
        <v>150.77000000000001</v>
      </c>
      <c r="J151" s="264">
        <v>2307.0300000000002</v>
      </c>
      <c r="K151" s="264">
        <v>2067.27</v>
      </c>
    </row>
    <row r="152" spans="1:11">
      <c r="A152" s="263" t="s">
        <v>399</v>
      </c>
      <c r="B152" s="264">
        <v>367.6</v>
      </c>
      <c r="C152" s="264">
        <v>458.23</v>
      </c>
      <c r="D152" s="264">
        <v>673.98</v>
      </c>
      <c r="E152" s="264">
        <v>532.47</v>
      </c>
      <c r="F152" s="264">
        <v>561.96</v>
      </c>
      <c r="G152" s="264">
        <v>739.83</v>
      </c>
      <c r="H152" s="264">
        <v>236.5</v>
      </c>
      <c r="I152" s="264">
        <v>290.27</v>
      </c>
      <c r="J152" s="264">
        <v>2478.08</v>
      </c>
      <c r="K152" s="264">
        <v>2229.37</v>
      </c>
    </row>
    <row r="153" spans="1:11" ht="28">
      <c r="A153" s="263" t="s">
        <v>400</v>
      </c>
      <c r="B153" s="269"/>
      <c r="C153" s="269"/>
      <c r="D153" s="269"/>
      <c r="E153" s="269"/>
      <c r="F153" s="269"/>
      <c r="G153" s="264">
        <v>730</v>
      </c>
      <c r="H153" s="264">
        <v>225</v>
      </c>
      <c r="I153" s="264">
        <v>275</v>
      </c>
      <c r="J153" s="264">
        <v>1250</v>
      </c>
      <c r="K153" s="264">
        <v>1015</v>
      </c>
    </row>
    <row r="154" spans="1:11" ht="28">
      <c r="A154" s="263" t="s">
        <v>401</v>
      </c>
      <c r="B154" s="269"/>
      <c r="C154" s="269"/>
      <c r="D154" s="269"/>
      <c r="E154" s="269"/>
      <c r="F154" s="269"/>
      <c r="G154" s="264">
        <v>200</v>
      </c>
      <c r="H154" s="264">
        <v>350</v>
      </c>
      <c r="I154" s="264">
        <v>350</v>
      </c>
      <c r="J154" s="269"/>
      <c r="K154" s="269"/>
    </row>
    <row r="155" spans="1:11">
      <c r="A155" s="261" t="s">
        <v>402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</row>
    <row r="156" spans="1:11" ht="28">
      <c r="A156" s="263" t="s">
        <v>403</v>
      </c>
      <c r="B156" s="269"/>
      <c r="C156" s="269"/>
      <c r="D156" s="264">
        <v>671.12</v>
      </c>
      <c r="E156" s="269"/>
      <c r="F156" s="264">
        <v>553.32000000000005</v>
      </c>
      <c r="G156" s="264">
        <v>730.26</v>
      </c>
      <c r="H156" s="269"/>
      <c r="I156" s="269"/>
      <c r="J156" s="269"/>
      <c r="K156" s="269"/>
    </row>
    <row r="157" spans="1:11" ht="28">
      <c r="A157" s="266" t="s">
        <v>404</v>
      </c>
      <c r="B157" s="269"/>
      <c r="C157" s="269"/>
      <c r="D157" s="269">
        <v>0</v>
      </c>
      <c r="E157" s="269"/>
      <c r="F157" s="265">
        <v>0.06</v>
      </c>
      <c r="G157" s="265">
        <v>0.01</v>
      </c>
      <c r="H157" s="269"/>
      <c r="I157" s="269"/>
      <c r="J157" s="269"/>
      <c r="K157" s="269"/>
    </row>
    <row r="158" spans="1:11" ht="28">
      <c r="A158" s="266" t="s">
        <v>405</v>
      </c>
      <c r="B158" s="269"/>
      <c r="C158" s="269"/>
      <c r="D158" s="264">
        <v>671.12</v>
      </c>
      <c r="E158" s="269"/>
      <c r="F158" s="265">
        <v>0.13</v>
      </c>
      <c r="G158" s="265">
        <v>0.1</v>
      </c>
      <c r="H158" s="269"/>
      <c r="I158" s="269"/>
      <c r="J158" s="269"/>
      <c r="K158" s="269"/>
    </row>
    <row r="159" spans="1:11" ht="28">
      <c r="A159" s="266" t="s">
        <v>406</v>
      </c>
      <c r="B159" s="269"/>
      <c r="C159" s="269"/>
      <c r="D159" s="269">
        <v>0</v>
      </c>
      <c r="E159" s="269"/>
      <c r="F159" s="264">
        <v>553.11</v>
      </c>
      <c r="G159" s="264">
        <v>730.11</v>
      </c>
      <c r="H159" s="269"/>
      <c r="I159" s="269"/>
      <c r="J159" s="269"/>
      <c r="K159" s="269"/>
    </row>
    <row r="160" spans="1:11" ht="28">
      <c r="A160" s="266" t="s">
        <v>407</v>
      </c>
      <c r="B160" s="269"/>
      <c r="C160" s="269"/>
      <c r="D160" s="269">
        <v>0</v>
      </c>
      <c r="E160" s="269"/>
      <c r="F160" s="265">
        <v>0.02</v>
      </c>
      <c r="G160" s="265">
        <v>0.05</v>
      </c>
      <c r="H160" s="269"/>
      <c r="I160" s="269"/>
      <c r="J160" s="269"/>
      <c r="K160" s="269"/>
    </row>
    <row r="161" spans="1:11" ht="28">
      <c r="A161" s="263" t="s">
        <v>408</v>
      </c>
      <c r="B161" s="269"/>
      <c r="C161" s="269"/>
      <c r="D161" s="264">
        <v>671.12</v>
      </c>
      <c r="E161" s="269"/>
      <c r="F161" s="264">
        <v>553.24</v>
      </c>
      <c r="G161" s="264">
        <v>730.21</v>
      </c>
      <c r="H161" s="269"/>
      <c r="I161" s="269"/>
      <c r="J161" s="269"/>
      <c r="K161" s="269"/>
    </row>
    <row r="162" spans="1:11" ht="28">
      <c r="A162" s="263" t="s">
        <v>409</v>
      </c>
      <c r="B162" s="269"/>
      <c r="C162" s="269"/>
      <c r="D162" s="269">
        <v>0</v>
      </c>
      <c r="E162" s="269"/>
      <c r="F162" s="265">
        <v>0.02</v>
      </c>
      <c r="G162" s="265">
        <v>0.05</v>
      </c>
      <c r="H162" s="269"/>
      <c r="I162" s="269"/>
      <c r="J162" s="269"/>
      <c r="K162" s="269"/>
    </row>
    <row r="163" spans="1:11">
      <c r="A163" s="261" t="s">
        <v>410</v>
      </c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</row>
    <row r="164" spans="1:11">
      <c r="A164" s="263" t="s">
        <v>411</v>
      </c>
      <c r="B164" s="265">
        <v>2.4</v>
      </c>
      <c r="C164" s="269"/>
      <c r="D164" s="265">
        <v>3.33</v>
      </c>
      <c r="E164" s="269"/>
      <c r="F164" s="265">
        <v>10.96</v>
      </c>
      <c r="G164" s="265">
        <v>9.57</v>
      </c>
      <c r="H164" s="265">
        <v>11.25</v>
      </c>
      <c r="I164" s="265">
        <v>15</v>
      </c>
      <c r="J164" s="265">
        <v>27.82</v>
      </c>
      <c r="K164" s="265">
        <v>25.86</v>
      </c>
    </row>
    <row r="165" spans="1:11" ht="28">
      <c r="A165" s="266" t="s">
        <v>412</v>
      </c>
      <c r="B165" s="265">
        <v>0.46</v>
      </c>
      <c r="C165" s="269"/>
      <c r="D165" s="265">
        <v>0.56999999999999995</v>
      </c>
      <c r="E165" s="269"/>
      <c r="F165" s="265">
        <v>1.21</v>
      </c>
      <c r="G165" s="265">
        <v>1.44</v>
      </c>
      <c r="H165" s="265">
        <v>1.96</v>
      </c>
      <c r="I165" s="265">
        <v>2.39</v>
      </c>
      <c r="J165" s="265">
        <v>5.63</v>
      </c>
      <c r="K165" s="265">
        <v>5.5</v>
      </c>
    </row>
    <row r="166" spans="1:11" ht="28">
      <c r="A166" s="266" t="s">
        <v>413</v>
      </c>
      <c r="B166" s="265">
        <v>0.4</v>
      </c>
      <c r="C166" s="269"/>
      <c r="D166" s="269"/>
      <c r="E166" s="269"/>
      <c r="F166" s="269"/>
      <c r="G166" s="265">
        <v>1.43</v>
      </c>
      <c r="H166" s="265">
        <v>1.63</v>
      </c>
      <c r="I166" s="265">
        <v>2.2799999999999998</v>
      </c>
      <c r="J166" s="265">
        <v>5.27</v>
      </c>
      <c r="K166" s="265">
        <v>4.8600000000000003</v>
      </c>
    </row>
    <row r="167" spans="1:11" ht="28">
      <c r="A167" s="266" t="s">
        <v>414</v>
      </c>
      <c r="B167" s="265">
        <v>0.4</v>
      </c>
      <c r="C167" s="269"/>
      <c r="D167" s="265">
        <v>1.1000000000000001</v>
      </c>
      <c r="E167" s="269"/>
      <c r="F167" s="265">
        <v>2.42</v>
      </c>
      <c r="G167" s="265">
        <v>1.1000000000000001</v>
      </c>
      <c r="H167" s="265">
        <v>1.52</v>
      </c>
      <c r="I167" s="265">
        <v>2.2000000000000002</v>
      </c>
      <c r="J167" s="265">
        <v>4.63</v>
      </c>
      <c r="K167" s="265">
        <v>4.76</v>
      </c>
    </row>
    <row r="168" spans="1:11" ht="28">
      <c r="A168" s="266" t="s">
        <v>415</v>
      </c>
      <c r="B168" s="265">
        <v>0.4</v>
      </c>
      <c r="C168" s="269"/>
      <c r="D168" s="269"/>
      <c r="E168" s="269"/>
      <c r="F168" s="269"/>
      <c r="G168" s="265">
        <v>1</v>
      </c>
      <c r="H168" s="265">
        <v>1.46</v>
      </c>
      <c r="I168" s="265">
        <v>2.1800000000000002</v>
      </c>
      <c r="J168" s="265">
        <v>4.54</v>
      </c>
      <c r="K168" s="265">
        <v>4.34</v>
      </c>
    </row>
    <row r="169" spans="1:11" ht="28">
      <c r="A169" s="266" t="s">
        <v>416</v>
      </c>
      <c r="B169" s="265">
        <v>0.36</v>
      </c>
      <c r="C169" s="269"/>
      <c r="D169" s="265">
        <v>1.03</v>
      </c>
      <c r="E169" s="269"/>
      <c r="F169" s="265">
        <v>1.74</v>
      </c>
      <c r="G169" s="265">
        <v>0.96</v>
      </c>
      <c r="H169" s="265">
        <v>1.44</v>
      </c>
      <c r="I169" s="265">
        <v>2.04</v>
      </c>
      <c r="J169" s="265">
        <v>4.1100000000000003</v>
      </c>
      <c r="K169" s="265">
        <v>3.79</v>
      </c>
    </row>
    <row r="170" spans="1:11" ht="28">
      <c r="A170" s="266" t="s">
        <v>417</v>
      </c>
      <c r="B170" s="265">
        <v>0.75</v>
      </c>
      <c r="C170" s="269"/>
      <c r="D170" s="265">
        <v>0.62</v>
      </c>
      <c r="E170" s="269"/>
      <c r="F170" s="265">
        <v>5.6</v>
      </c>
      <c r="G170" s="265">
        <v>6.22</v>
      </c>
      <c r="H170" s="265">
        <v>5.81</v>
      </c>
      <c r="I170" s="265">
        <v>7.96</v>
      </c>
      <c r="J170" s="265">
        <v>9.99</v>
      </c>
      <c r="K170" s="265">
        <v>8.25</v>
      </c>
    </row>
    <row r="171" spans="1:11" ht="28">
      <c r="A171" s="266" t="s">
        <v>418</v>
      </c>
      <c r="B171" s="265">
        <v>0.36</v>
      </c>
      <c r="C171" s="269"/>
      <c r="D171" s="269"/>
      <c r="E171" s="269"/>
      <c r="F171" s="269"/>
      <c r="G171" s="265">
        <v>2.58</v>
      </c>
      <c r="H171" s="265">
        <v>2.57</v>
      </c>
      <c r="I171" s="265">
        <v>4.05</v>
      </c>
      <c r="J171" s="265">
        <v>6.36</v>
      </c>
      <c r="K171" s="265">
        <v>5.63</v>
      </c>
    </row>
    <row r="172" spans="1:11" ht="28">
      <c r="A172" s="263" t="s">
        <v>419</v>
      </c>
      <c r="B172" s="265">
        <v>0.8</v>
      </c>
      <c r="C172" s="269"/>
      <c r="D172" s="265">
        <v>1.1000000000000001</v>
      </c>
      <c r="E172" s="269"/>
      <c r="F172" s="265">
        <v>2.42</v>
      </c>
      <c r="G172" s="265">
        <v>2.5299999999999998</v>
      </c>
      <c r="H172" s="265">
        <v>3.15</v>
      </c>
      <c r="I172" s="265">
        <v>4.4800000000000004</v>
      </c>
      <c r="J172" s="265">
        <v>9.91</v>
      </c>
      <c r="K172" s="265">
        <v>9.6199999999999992</v>
      </c>
    </row>
    <row r="173" spans="1:11" ht="28">
      <c r="A173" s="263" t="s">
        <v>420</v>
      </c>
      <c r="B173" s="265">
        <v>0.75</v>
      </c>
      <c r="C173" s="269"/>
      <c r="D173" s="265">
        <v>1.03</v>
      </c>
      <c r="E173" s="269"/>
      <c r="F173" s="265">
        <v>1.74</v>
      </c>
      <c r="G173" s="265">
        <v>1.96</v>
      </c>
      <c r="H173" s="265">
        <v>2.9</v>
      </c>
      <c r="I173" s="265">
        <v>4.22</v>
      </c>
      <c r="J173" s="265">
        <v>8.65</v>
      </c>
      <c r="K173" s="265">
        <v>8.1199999999999992</v>
      </c>
    </row>
    <row r="174" spans="1:11" ht="28">
      <c r="A174" s="263" t="s">
        <v>421</v>
      </c>
      <c r="B174" s="265">
        <v>0.75</v>
      </c>
      <c r="C174" s="269"/>
      <c r="D174" s="265">
        <v>0.62</v>
      </c>
      <c r="E174" s="269"/>
      <c r="F174" s="265">
        <v>5.6</v>
      </c>
      <c r="G174" s="265">
        <v>6.22</v>
      </c>
      <c r="H174" s="265">
        <v>5.81</v>
      </c>
      <c r="I174" s="265">
        <v>7.96</v>
      </c>
      <c r="J174" s="265">
        <v>9.99</v>
      </c>
      <c r="K174" s="265">
        <v>8.25</v>
      </c>
    </row>
    <row r="175" spans="1:11">
      <c r="A175" s="261" t="s">
        <v>422</v>
      </c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</row>
    <row r="176" spans="1:11" ht="42">
      <c r="A176" s="263" t="s">
        <v>423</v>
      </c>
      <c r="B176" s="269"/>
      <c r="C176" s="269"/>
      <c r="D176" s="269"/>
      <c r="E176" s="269"/>
      <c r="F176" s="269"/>
      <c r="G176" s="265">
        <v>7</v>
      </c>
      <c r="H176" s="265">
        <v>9.1</v>
      </c>
      <c r="I176" s="265">
        <v>7.9</v>
      </c>
      <c r="J176" s="265">
        <v>7.1</v>
      </c>
      <c r="K176" s="265">
        <v>7.2</v>
      </c>
    </row>
    <row r="177" spans="1:11" ht="28">
      <c r="A177" s="263" t="s">
        <v>424</v>
      </c>
      <c r="B177" s="269"/>
      <c r="C177" s="269"/>
      <c r="D177" s="269"/>
      <c r="E177" s="269"/>
      <c r="F177" s="269"/>
      <c r="G177" s="265">
        <v>10.8</v>
      </c>
      <c r="H177" s="265">
        <v>9.1999999999999993</v>
      </c>
      <c r="I177" s="265">
        <v>9</v>
      </c>
      <c r="J177" s="265">
        <v>7.5</v>
      </c>
      <c r="K177" s="265">
        <v>6.7</v>
      </c>
    </row>
    <row r="178" spans="1:11" ht="42">
      <c r="A178" s="263" t="s">
        <v>425</v>
      </c>
      <c r="B178" s="279"/>
      <c r="C178" s="279"/>
      <c r="D178" s="279"/>
      <c r="E178" s="279"/>
      <c r="F178" s="279"/>
      <c r="G178" s="279">
        <v>0</v>
      </c>
      <c r="H178" s="279">
        <v>0</v>
      </c>
      <c r="I178" s="279">
        <v>0</v>
      </c>
      <c r="J178" s="279">
        <v>0</v>
      </c>
      <c r="K178" s="279">
        <v>0</v>
      </c>
    </row>
    <row r="179" spans="1:11" ht="28">
      <c r="A179" s="263" t="s">
        <v>426</v>
      </c>
      <c r="B179" s="279"/>
      <c r="C179" s="279"/>
      <c r="D179" s="279"/>
      <c r="E179" s="279"/>
      <c r="F179" s="279"/>
      <c r="G179" s="279">
        <v>0</v>
      </c>
      <c r="H179" s="279">
        <v>0</v>
      </c>
      <c r="I179" s="279">
        <v>0</v>
      </c>
      <c r="J179" s="279">
        <v>0</v>
      </c>
      <c r="K179" s="279">
        <v>0</v>
      </c>
    </row>
    <row r="180" spans="1:11">
      <c r="A180" s="261" t="s">
        <v>427</v>
      </c>
      <c r="B180" s="262"/>
      <c r="C180" s="262"/>
      <c r="D180" s="262"/>
      <c r="E180" s="262"/>
      <c r="F180" s="262"/>
      <c r="G180" s="262"/>
      <c r="H180" s="262"/>
      <c r="I180" s="262"/>
      <c r="J180" s="262"/>
      <c r="K180" s="262"/>
    </row>
    <row r="181" spans="1:11" ht="56">
      <c r="A181" s="263" t="s">
        <v>428</v>
      </c>
      <c r="B181" s="269"/>
      <c r="C181" s="269"/>
      <c r="D181" s="269"/>
      <c r="E181" s="269"/>
      <c r="F181" s="265">
        <v>23.81</v>
      </c>
      <c r="G181" s="265">
        <v>25.63</v>
      </c>
      <c r="H181" s="265">
        <v>32.74</v>
      </c>
      <c r="I181" s="265">
        <v>58.76</v>
      </c>
      <c r="J181" s="265">
        <v>87.56</v>
      </c>
      <c r="K181" s="265">
        <v>83.9</v>
      </c>
    </row>
    <row r="182" spans="1:11" ht="56">
      <c r="A182" s="263" t="s">
        <v>429</v>
      </c>
      <c r="B182" s="269"/>
      <c r="C182" s="269"/>
      <c r="D182" s="269"/>
      <c r="E182" s="269"/>
      <c r="F182" s="269"/>
      <c r="G182" s="269"/>
      <c r="H182" s="269"/>
      <c r="I182" s="269"/>
      <c r="J182" s="269"/>
      <c r="K182" s="265">
        <v>61.84</v>
      </c>
    </row>
    <row r="183" spans="1:11">
      <c r="A183" s="263" t="s">
        <v>430</v>
      </c>
      <c r="B183" s="264">
        <v>174.69</v>
      </c>
      <c r="C183" s="264">
        <v>183.84</v>
      </c>
      <c r="D183" s="264">
        <v>218.34</v>
      </c>
      <c r="E183" s="264">
        <v>236.8</v>
      </c>
      <c r="F183" s="264">
        <v>216.38</v>
      </c>
      <c r="G183" s="264">
        <v>251.64</v>
      </c>
      <c r="H183" s="264">
        <v>286.45999999999998</v>
      </c>
      <c r="I183" s="264">
        <v>369.77</v>
      </c>
      <c r="J183" s="264">
        <v>411.96</v>
      </c>
      <c r="K183" s="264">
        <v>426.69</v>
      </c>
    </row>
    <row r="184" spans="1:11">
      <c r="A184" s="263" t="s">
        <v>431</v>
      </c>
      <c r="B184" s="264">
        <v>301.62</v>
      </c>
      <c r="C184" s="264">
        <v>285.77999999999997</v>
      </c>
      <c r="D184" s="264">
        <v>330.39</v>
      </c>
      <c r="E184" s="264">
        <v>391.78</v>
      </c>
      <c r="F184" s="264">
        <v>467.59</v>
      </c>
      <c r="G184" s="264">
        <v>517.61</v>
      </c>
      <c r="H184" s="264">
        <v>534.21</v>
      </c>
      <c r="I184" s="264">
        <v>592.37</v>
      </c>
      <c r="J184" s="264">
        <v>1018.95</v>
      </c>
      <c r="K184" s="264">
        <v>1236.3399999999999</v>
      </c>
    </row>
    <row r="185" spans="1:11">
      <c r="A185" s="263" t="s">
        <v>432</v>
      </c>
      <c r="B185" s="264">
        <v>936.15</v>
      </c>
      <c r="C185" s="264">
        <v>1089.74</v>
      </c>
      <c r="D185" s="264">
        <v>1379.06</v>
      </c>
      <c r="E185" s="264">
        <v>1478.97</v>
      </c>
      <c r="F185" s="264">
        <v>1643.51</v>
      </c>
      <c r="G185" s="264">
        <v>1757.69</v>
      </c>
      <c r="H185" s="264">
        <v>1939.71</v>
      </c>
      <c r="I185" s="264">
        <v>2283.5700000000002</v>
      </c>
      <c r="J185" s="264">
        <v>3749.69</v>
      </c>
      <c r="K185" s="264">
        <v>4050.42</v>
      </c>
    </row>
    <row r="186" spans="1:11">
      <c r="A186" s="263" t="s">
        <v>433</v>
      </c>
      <c r="B186" s="265">
        <v>33.6</v>
      </c>
      <c r="C186" s="265">
        <v>42.96</v>
      </c>
      <c r="D186" s="265">
        <v>52.07</v>
      </c>
      <c r="E186" s="265">
        <v>59.6</v>
      </c>
      <c r="F186" s="265">
        <v>57</v>
      </c>
      <c r="G186" s="264">
        <v>406.85</v>
      </c>
      <c r="H186" s="264">
        <v>108.3</v>
      </c>
      <c r="I186" s="264">
        <v>139.5</v>
      </c>
      <c r="J186" s="264">
        <v>171.05</v>
      </c>
      <c r="K186" s="264">
        <v>162.1</v>
      </c>
    </row>
    <row r="187" spans="1:11" ht="28">
      <c r="A187" s="263" t="s">
        <v>434</v>
      </c>
      <c r="B187" s="265">
        <v>33.6</v>
      </c>
      <c r="C187" s="265">
        <v>42.96</v>
      </c>
      <c r="D187" s="265">
        <v>52.07</v>
      </c>
      <c r="E187" s="265">
        <v>59.6</v>
      </c>
      <c r="F187" s="265">
        <v>57</v>
      </c>
      <c r="G187" s="264">
        <v>406.85</v>
      </c>
      <c r="H187" s="264">
        <v>108.3</v>
      </c>
      <c r="I187" s="264">
        <v>139.5</v>
      </c>
      <c r="J187" s="264">
        <v>171.05</v>
      </c>
      <c r="K187" s="264">
        <v>162.1</v>
      </c>
    </row>
    <row r="188" spans="1:11" ht="42">
      <c r="A188" s="263" t="s">
        <v>435</v>
      </c>
      <c r="B188" s="264">
        <v>542.29</v>
      </c>
      <c r="C188" s="264">
        <v>642.05999999999995</v>
      </c>
      <c r="D188" s="264">
        <v>892.31</v>
      </c>
      <c r="E188" s="264">
        <v>769.27</v>
      </c>
      <c r="F188" s="264">
        <v>778.34</v>
      </c>
      <c r="G188" s="264">
        <v>991.47</v>
      </c>
      <c r="H188" s="264">
        <v>522.95000000000005</v>
      </c>
      <c r="I188" s="264">
        <v>660.05</v>
      </c>
      <c r="J188" s="264">
        <v>2890.04</v>
      </c>
      <c r="K188" s="264">
        <v>2656.06</v>
      </c>
    </row>
    <row r="189" spans="1:11">
      <c r="A189" s="263" t="s">
        <v>436</v>
      </c>
      <c r="B189" s="264">
        <v>1227.27</v>
      </c>
      <c r="C189" s="264">
        <v>1462.98</v>
      </c>
      <c r="D189" s="264">
        <v>1870.21</v>
      </c>
      <c r="E189" s="264">
        <v>1975.88</v>
      </c>
      <c r="F189" s="264">
        <v>2199.61</v>
      </c>
      <c r="G189" s="264">
        <v>2343.59</v>
      </c>
      <c r="H189" s="264">
        <v>2425.14</v>
      </c>
      <c r="I189" s="264">
        <v>2799.08</v>
      </c>
      <c r="J189" s="264">
        <v>5500.18</v>
      </c>
      <c r="K189" s="264">
        <v>5764.68</v>
      </c>
    </row>
    <row r="190" spans="1:11">
      <c r="A190" s="263" t="s">
        <v>437</v>
      </c>
      <c r="B190" s="264">
        <v>1318.55</v>
      </c>
      <c r="C190" s="264">
        <v>1562.49</v>
      </c>
      <c r="D190" s="264">
        <v>2001.33</v>
      </c>
      <c r="E190" s="264">
        <v>2107.9299999999998</v>
      </c>
      <c r="F190" s="264">
        <v>2387.88</v>
      </c>
      <c r="G190" s="264">
        <v>2564.79</v>
      </c>
      <c r="H190" s="264">
        <v>2677.73</v>
      </c>
      <c r="I190" s="264">
        <v>3126.68</v>
      </c>
      <c r="J190" s="264">
        <v>5864.99</v>
      </c>
      <c r="K190" s="264">
        <v>6130.83</v>
      </c>
    </row>
    <row r="191" spans="1:11">
      <c r="A191" s="263" t="s">
        <v>438</v>
      </c>
      <c r="B191" s="264">
        <v>110.59</v>
      </c>
      <c r="C191" s="265">
        <v>64.900000000000006</v>
      </c>
      <c r="D191" s="265">
        <v>59.03</v>
      </c>
      <c r="E191" s="265">
        <v>46.64</v>
      </c>
      <c r="F191" s="265">
        <v>51.5</v>
      </c>
      <c r="G191" s="265">
        <v>55.66</v>
      </c>
      <c r="H191" s="265">
        <v>40.76</v>
      </c>
      <c r="I191" s="265">
        <v>71.16</v>
      </c>
      <c r="J191" s="264">
        <v>131.85</v>
      </c>
      <c r="K191" s="264">
        <v>114.16</v>
      </c>
    </row>
    <row r="192" spans="1:11">
      <c r="A192" s="263" t="s">
        <v>439</v>
      </c>
      <c r="B192" s="264">
        <v>809.86</v>
      </c>
      <c r="C192" s="264">
        <v>963.38</v>
      </c>
      <c r="D192" s="264">
        <v>1161.08</v>
      </c>
      <c r="E192" s="264">
        <v>1398.25</v>
      </c>
      <c r="F192" s="264">
        <v>1666.54</v>
      </c>
      <c r="G192" s="264">
        <v>1980.18</v>
      </c>
      <c r="H192" s="264">
        <v>2263.0700000000002</v>
      </c>
      <c r="I192" s="264">
        <v>2606.14</v>
      </c>
      <c r="J192" s="264">
        <v>3146</v>
      </c>
      <c r="K192" s="264">
        <v>3636.88</v>
      </c>
    </row>
    <row r="193" spans="1:11">
      <c r="A193" s="263" t="s">
        <v>440</v>
      </c>
      <c r="B193" s="270">
        <v>-145.96</v>
      </c>
      <c r="C193" s="270">
        <v>-184.87</v>
      </c>
      <c r="D193" s="270">
        <v>-371.09</v>
      </c>
      <c r="E193" s="270">
        <v>-118.18</v>
      </c>
      <c r="F193" s="270">
        <v>-124.74</v>
      </c>
      <c r="G193" s="265">
        <v>48.4</v>
      </c>
      <c r="H193" s="264">
        <v>264.24</v>
      </c>
      <c r="I193" s="264">
        <v>242.55</v>
      </c>
      <c r="J193" s="270">
        <v>-1438.46</v>
      </c>
      <c r="K193" s="270">
        <v>-1017.66</v>
      </c>
    </row>
    <row r="194" spans="1:11">
      <c r="A194" s="263" t="s">
        <v>441</v>
      </c>
      <c r="B194" s="270">
        <v>-229.37</v>
      </c>
      <c r="C194" s="270">
        <v>-269.2</v>
      </c>
      <c r="D194" s="270">
        <v>-458.31</v>
      </c>
      <c r="E194" s="270">
        <v>-222.94</v>
      </c>
      <c r="F194" s="270">
        <v>-152.85</v>
      </c>
      <c r="G194" s="265">
        <v>17.97</v>
      </c>
      <c r="H194" s="264">
        <v>230.37</v>
      </c>
      <c r="I194" s="264">
        <v>200.38</v>
      </c>
      <c r="J194" s="270">
        <v>-1485.61</v>
      </c>
      <c r="K194" s="270">
        <v>-1078.19</v>
      </c>
    </row>
    <row r="195" spans="1:11">
      <c r="A195" s="263" t="s">
        <v>442</v>
      </c>
      <c r="B195" s="264">
        <v>1177.46</v>
      </c>
      <c r="C195" s="264">
        <v>1421.6</v>
      </c>
      <c r="D195" s="264">
        <v>1835.06</v>
      </c>
      <c r="E195" s="264">
        <v>1930.72</v>
      </c>
      <c r="F195" s="264">
        <v>2228.5</v>
      </c>
      <c r="G195" s="264">
        <v>2720.01</v>
      </c>
      <c r="H195" s="264">
        <v>2499.5700000000002</v>
      </c>
      <c r="I195" s="264">
        <v>2896.41</v>
      </c>
      <c r="J195" s="264">
        <v>5624.07</v>
      </c>
      <c r="K195" s="264">
        <v>5866.25</v>
      </c>
    </row>
    <row r="196" spans="1:11">
      <c r="A196" s="263" t="s">
        <v>443</v>
      </c>
      <c r="B196" s="264">
        <v>1352.15</v>
      </c>
      <c r="C196" s="264">
        <v>1605.44</v>
      </c>
      <c r="D196" s="264">
        <v>2053.39</v>
      </c>
      <c r="E196" s="264">
        <v>2167.52</v>
      </c>
      <c r="F196" s="264">
        <v>2444.88</v>
      </c>
      <c r="G196" s="264">
        <v>2971.65</v>
      </c>
      <c r="H196" s="264">
        <v>2786.02</v>
      </c>
      <c r="I196" s="264">
        <v>3266.18</v>
      </c>
      <c r="J196" s="264">
        <v>6036.04</v>
      </c>
      <c r="K196" s="264">
        <v>6292.94</v>
      </c>
    </row>
    <row r="197" spans="1:11">
      <c r="A197" s="263" t="s">
        <v>444</v>
      </c>
      <c r="B197" s="264">
        <v>1476.72</v>
      </c>
      <c r="C197" s="264">
        <v>1684.48</v>
      </c>
      <c r="D197" s="264">
        <v>2131.87</v>
      </c>
      <c r="E197" s="264">
        <v>2238.92</v>
      </c>
      <c r="F197" s="264">
        <v>2491.81</v>
      </c>
      <c r="G197" s="264">
        <v>3085.34</v>
      </c>
      <c r="H197" s="264">
        <v>2950.94</v>
      </c>
      <c r="I197" s="264">
        <v>3347.04</v>
      </c>
      <c r="J197" s="264">
        <v>6164.91</v>
      </c>
      <c r="K197" s="264">
        <v>6562.82</v>
      </c>
    </row>
    <row r="198" spans="1:11">
      <c r="A198" s="263" t="s">
        <v>445</v>
      </c>
      <c r="B198" s="264">
        <v>466.14</v>
      </c>
      <c r="C198" s="264">
        <v>589.54</v>
      </c>
      <c r="D198" s="264">
        <v>799.23</v>
      </c>
      <c r="E198" s="264">
        <v>804.76</v>
      </c>
      <c r="F198" s="264">
        <v>886.78</v>
      </c>
      <c r="G198" s="264">
        <v>998.92</v>
      </c>
      <c r="H198" s="264">
        <v>1110.6300000000001</v>
      </c>
      <c r="I198" s="264">
        <v>1270.3399999999999</v>
      </c>
      <c r="J198" s="264">
        <v>2065.39</v>
      </c>
      <c r="K198" s="264">
        <v>2150.2399999999998</v>
      </c>
    </row>
    <row r="199" spans="1:11">
      <c r="A199" s="263" t="s">
        <v>446</v>
      </c>
      <c r="B199" s="269"/>
      <c r="C199" s="265">
        <v>32.14</v>
      </c>
      <c r="D199" s="265">
        <v>29.25</v>
      </c>
      <c r="E199" s="269"/>
      <c r="F199" s="265">
        <v>23.81</v>
      </c>
      <c r="G199" s="265">
        <v>25.63</v>
      </c>
      <c r="H199" s="265">
        <v>32.74</v>
      </c>
      <c r="I199" s="265">
        <v>58.76</v>
      </c>
      <c r="J199" s="265">
        <v>87.56</v>
      </c>
      <c r="K199" s="264">
        <v>145.75</v>
      </c>
    </row>
    <row r="200" spans="1:11">
      <c r="A200" s="263" t="s">
        <v>447</v>
      </c>
      <c r="B200" s="264">
        <v>335.23</v>
      </c>
      <c r="C200" s="264">
        <v>328.74</v>
      </c>
      <c r="D200" s="264">
        <v>382.46</v>
      </c>
      <c r="E200" s="264">
        <v>451.38</v>
      </c>
      <c r="F200" s="264">
        <v>524.59</v>
      </c>
      <c r="G200" s="264">
        <v>924.46</v>
      </c>
      <c r="H200" s="264">
        <v>642.51</v>
      </c>
      <c r="I200" s="264">
        <v>731.87</v>
      </c>
      <c r="J200" s="264">
        <v>1190</v>
      </c>
      <c r="K200" s="264">
        <v>1398.44</v>
      </c>
    </row>
    <row r="201" spans="1:11">
      <c r="A201" s="263" t="s">
        <v>448</v>
      </c>
      <c r="B201" s="264">
        <v>301.62</v>
      </c>
      <c r="C201" s="264">
        <v>285.77999999999997</v>
      </c>
      <c r="D201" s="264">
        <v>330.39</v>
      </c>
      <c r="E201" s="264">
        <v>391.78</v>
      </c>
      <c r="F201" s="264">
        <v>467.59</v>
      </c>
      <c r="G201" s="264">
        <v>517.61</v>
      </c>
      <c r="H201" s="264">
        <v>534.21</v>
      </c>
      <c r="I201" s="264">
        <v>592.37</v>
      </c>
      <c r="J201" s="264">
        <v>1018.95</v>
      </c>
      <c r="K201" s="264">
        <v>1236.3399999999999</v>
      </c>
    </row>
    <row r="202" spans="1:11" ht="42">
      <c r="A202" s="263" t="s">
        <v>449</v>
      </c>
      <c r="B202" s="264">
        <v>299.7</v>
      </c>
      <c r="C202" s="264">
        <v>378.33</v>
      </c>
      <c r="D202" s="264">
        <v>431.56</v>
      </c>
      <c r="E202" s="269"/>
      <c r="F202" s="264">
        <v>572.47</v>
      </c>
      <c r="G202" s="264">
        <v>973.65</v>
      </c>
      <c r="H202" s="264">
        <v>701.05</v>
      </c>
      <c r="I202" s="264">
        <v>829.79</v>
      </c>
      <c r="J202" s="264">
        <v>1340.17</v>
      </c>
      <c r="K202" s="264">
        <v>1490.78</v>
      </c>
    </row>
    <row r="203" spans="1:11" ht="28">
      <c r="A203" s="263" t="s">
        <v>450</v>
      </c>
      <c r="B203" s="264">
        <v>811.65</v>
      </c>
      <c r="C203" s="264">
        <v>965.84</v>
      </c>
      <c r="D203" s="264">
        <v>1164.2</v>
      </c>
      <c r="E203" s="264">
        <v>1402.18</v>
      </c>
      <c r="F203" s="264">
        <v>1670.77</v>
      </c>
      <c r="G203" s="264">
        <v>1985.06</v>
      </c>
      <c r="H203" s="264">
        <v>2268.37</v>
      </c>
      <c r="I203" s="264">
        <v>2611.4299999999998</v>
      </c>
      <c r="J203" s="264">
        <v>3152.31</v>
      </c>
      <c r="K203" s="264">
        <v>3644.15</v>
      </c>
    </row>
    <row r="204" spans="1:11" ht="42">
      <c r="A204" s="263" t="s">
        <v>451</v>
      </c>
      <c r="B204" s="269"/>
      <c r="C204" s="269"/>
      <c r="D204" s="269"/>
      <c r="E204" s="269"/>
      <c r="F204" s="269"/>
      <c r="G204" s="269"/>
      <c r="H204" s="269"/>
      <c r="I204" s="269"/>
      <c r="J204" s="269"/>
      <c r="K204" s="264">
        <v>293.26</v>
      </c>
    </row>
    <row r="205" spans="1:11">
      <c r="A205" s="263" t="s">
        <v>452</v>
      </c>
      <c r="B205" s="264">
        <v>349</v>
      </c>
      <c r="C205" s="264">
        <v>497</v>
      </c>
      <c r="D205" s="264">
        <v>654</v>
      </c>
      <c r="E205" s="264">
        <v>783</v>
      </c>
      <c r="F205" s="264">
        <v>900</v>
      </c>
      <c r="G205" s="264">
        <v>844</v>
      </c>
      <c r="H205" s="264">
        <v>977</v>
      </c>
      <c r="I205" s="264">
        <v>1383</v>
      </c>
      <c r="J205" s="264">
        <v>1863</v>
      </c>
      <c r="K205" s="264">
        <v>1924.5</v>
      </c>
    </row>
    <row r="206" spans="1:11">
      <c r="A206" s="261" t="s">
        <v>453</v>
      </c>
      <c r="B206" s="262"/>
      <c r="C206" s="262"/>
      <c r="D206" s="262"/>
      <c r="E206" s="262"/>
      <c r="F206" s="262"/>
      <c r="G206" s="262"/>
      <c r="H206" s="262"/>
      <c r="I206" s="262"/>
      <c r="J206" s="262"/>
      <c r="K206" s="262"/>
    </row>
    <row r="207" spans="1:11" ht="28">
      <c r="A207" s="263" t="s">
        <v>454</v>
      </c>
      <c r="B207" s="269"/>
      <c r="C207" s="264">
        <v>712</v>
      </c>
      <c r="D207" s="264">
        <v>670</v>
      </c>
      <c r="E207" s="264">
        <v>638</v>
      </c>
      <c r="F207" s="264">
        <v>618</v>
      </c>
      <c r="G207" s="264">
        <v>596</v>
      </c>
      <c r="H207" s="264">
        <v>570</v>
      </c>
      <c r="I207" s="264">
        <v>555</v>
      </c>
      <c r="J207" s="264">
        <v>265</v>
      </c>
      <c r="K207" s="264">
        <v>247</v>
      </c>
    </row>
    <row r="208" spans="1:11">
      <c r="A208" s="261" t="s">
        <v>455</v>
      </c>
      <c r="B208" s="262"/>
      <c r="C208" s="262"/>
      <c r="D208" s="262"/>
      <c r="E208" s="262"/>
      <c r="F208" s="262"/>
      <c r="G208" s="262"/>
      <c r="H208" s="262"/>
      <c r="I208" s="262"/>
      <c r="J208" s="262"/>
      <c r="K208" s="262"/>
    </row>
    <row r="209" spans="1:11" ht="28">
      <c r="A209" s="263" t="s">
        <v>456</v>
      </c>
      <c r="B209" s="265">
        <v>36.72</v>
      </c>
      <c r="C209" s="265">
        <v>56.85</v>
      </c>
      <c r="D209" s="265">
        <v>74.13</v>
      </c>
      <c r="E209" s="265">
        <v>81.99</v>
      </c>
      <c r="F209" s="265">
        <v>76.95</v>
      </c>
      <c r="G209" s="265">
        <v>58.29</v>
      </c>
      <c r="H209" s="265">
        <v>75.7</v>
      </c>
      <c r="I209" s="265">
        <v>91.62</v>
      </c>
      <c r="J209" s="264">
        <v>125.26</v>
      </c>
      <c r="K209" s="264">
        <v>136.88</v>
      </c>
    </row>
    <row r="210" spans="1:11" ht="28">
      <c r="A210" s="266" t="s">
        <v>457</v>
      </c>
      <c r="B210" s="265">
        <v>10.53</v>
      </c>
      <c r="C210" s="265">
        <v>11.79</v>
      </c>
      <c r="D210" s="265">
        <v>13.4</v>
      </c>
      <c r="E210" s="265">
        <v>14.96</v>
      </c>
      <c r="F210" s="265">
        <v>15.51</v>
      </c>
      <c r="G210" s="265">
        <v>16.55</v>
      </c>
      <c r="H210" s="265">
        <v>16.850000000000001</v>
      </c>
      <c r="I210" s="265">
        <v>18.93</v>
      </c>
      <c r="J210" s="265">
        <v>27.03</v>
      </c>
      <c r="K210" s="265">
        <v>31.15</v>
      </c>
    </row>
    <row r="211" spans="1:11" ht="28">
      <c r="A211" s="266" t="s">
        <v>458</v>
      </c>
      <c r="B211" s="265">
        <v>8.1999999999999993</v>
      </c>
      <c r="C211" s="265">
        <v>8.58</v>
      </c>
      <c r="D211" s="265">
        <v>12.25</v>
      </c>
      <c r="E211" s="265">
        <v>14.99</v>
      </c>
      <c r="F211" s="265">
        <v>15.56</v>
      </c>
      <c r="G211" s="265">
        <v>15.23</v>
      </c>
      <c r="H211" s="265">
        <v>12.73</v>
      </c>
      <c r="I211" s="265">
        <v>17.55</v>
      </c>
      <c r="J211" s="265">
        <v>26.88</v>
      </c>
      <c r="K211" s="265">
        <v>28.65</v>
      </c>
    </row>
    <row r="212" spans="1:11" ht="28">
      <c r="A212" s="266" t="s">
        <v>459</v>
      </c>
      <c r="B212" s="265">
        <v>4.4800000000000004</v>
      </c>
      <c r="C212" s="265">
        <v>6.49</v>
      </c>
      <c r="D212" s="265">
        <v>11.75</v>
      </c>
      <c r="E212" s="265">
        <v>14.15</v>
      </c>
      <c r="F212" s="265">
        <v>13.81</v>
      </c>
      <c r="G212" s="265">
        <v>9.16</v>
      </c>
      <c r="H212" s="265">
        <v>9.7899999999999991</v>
      </c>
      <c r="I212" s="265">
        <v>16.239999999999998</v>
      </c>
      <c r="J212" s="265">
        <v>22.98</v>
      </c>
      <c r="K212" s="265">
        <v>25.01</v>
      </c>
    </row>
    <row r="213" spans="1:11" ht="28">
      <c r="A213" s="266" t="s">
        <v>460</v>
      </c>
      <c r="B213" s="265">
        <v>2.5099999999999998</v>
      </c>
      <c r="C213" s="265">
        <v>6.06</v>
      </c>
      <c r="D213" s="265">
        <v>10.9</v>
      </c>
      <c r="E213" s="265">
        <v>12.55</v>
      </c>
      <c r="F213" s="265">
        <v>8.52</v>
      </c>
      <c r="G213" s="265">
        <v>5.33</v>
      </c>
      <c r="H213" s="265">
        <v>8.66</v>
      </c>
      <c r="I213" s="265">
        <v>12.94</v>
      </c>
      <c r="J213" s="265">
        <v>19.34</v>
      </c>
      <c r="K213" s="265">
        <v>19.25</v>
      </c>
    </row>
    <row r="214" spans="1:11" ht="28">
      <c r="A214" s="266" t="s">
        <v>461</v>
      </c>
      <c r="B214" s="265">
        <v>2.06</v>
      </c>
      <c r="C214" s="265">
        <v>5.93</v>
      </c>
      <c r="D214" s="265">
        <v>9.76</v>
      </c>
      <c r="E214" s="265">
        <v>7.33</v>
      </c>
      <c r="F214" s="265">
        <v>4.74</v>
      </c>
      <c r="G214" s="265">
        <v>4.51</v>
      </c>
      <c r="H214" s="265">
        <v>7.15</v>
      </c>
      <c r="I214" s="265">
        <v>9.86</v>
      </c>
      <c r="J214" s="265">
        <v>13.74</v>
      </c>
      <c r="K214" s="265">
        <v>14.84</v>
      </c>
    </row>
    <row r="215" spans="1:11" ht="28">
      <c r="A215" s="266" t="s">
        <v>462</v>
      </c>
      <c r="B215" s="265">
        <v>8.94</v>
      </c>
      <c r="C215" s="265">
        <v>18</v>
      </c>
      <c r="D215" s="265">
        <v>16.07</v>
      </c>
      <c r="E215" s="265">
        <v>18.010000000000002</v>
      </c>
      <c r="F215" s="265">
        <v>18.809999999999999</v>
      </c>
      <c r="G215" s="265">
        <v>20.010000000000002</v>
      </c>
      <c r="H215" s="265">
        <v>39.11</v>
      </c>
      <c r="I215" s="265">
        <v>37.31</v>
      </c>
      <c r="J215" s="265">
        <v>44.34</v>
      </c>
      <c r="K215" s="265">
        <v>54.52</v>
      </c>
    </row>
    <row r="216" spans="1:11" ht="42">
      <c r="A216" s="266" t="s">
        <v>463</v>
      </c>
      <c r="B216" s="269"/>
      <c r="C216" s="269"/>
      <c r="D216" s="269"/>
      <c r="E216" s="269"/>
      <c r="F216" s="269"/>
      <c r="G216" s="265">
        <v>12.48</v>
      </c>
      <c r="H216" s="265">
        <v>18.59</v>
      </c>
      <c r="I216" s="265">
        <v>21.2</v>
      </c>
      <c r="J216" s="265">
        <v>29.06</v>
      </c>
      <c r="K216" s="265">
        <v>36.53</v>
      </c>
    </row>
    <row r="217" spans="1:11" ht="28">
      <c r="A217" s="263" t="s">
        <v>464</v>
      </c>
      <c r="B217" s="265">
        <v>12.68</v>
      </c>
      <c r="C217" s="265">
        <v>15.07</v>
      </c>
      <c r="D217" s="265">
        <v>24</v>
      </c>
      <c r="E217" s="265">
        <v>29.14</v>
      </c>
      <c r="F217" s="265">
        <v>29.37</v>
      </c>
      <c r="G217" s="265">
        <v>24.39</v>
      </c>
      <c r="H217" s="265">
        <v>22.51</v>
      </c>
      <c r="I217" s="265">
        <v>33.79</v>
      </c>
      <c r="J217" s="265">
        <v>49.86</v>
      </c>
      <c r="K217" s="265">
        <v>53.65</v>
      </c>
    </row>
    <row r="218" spans="1:11" ht="28">
      <c r="A218" s="263" t="s">
        <v>465</v>
      </c>
      <c r="B218" s="265">
        <v>4.57</v>
      </c>
      <c r="C218" s="265">
        <v>12</v>
      </c>
      <c r="D218" s="265">
        <v>20.66</v>
      </c>
      <c r="E218" s="265">
        <v>19.88</v>
      </c>
      <c r="F218" s="265">
        <v>13.26</v>
      </c>
      <c r="G218" s="265">
        <v>9.83</v>
      </c>
      <c r="H218" s="265">
        <v>15.82</v>
      </c>
      <c r="I218" s="265">
        <v>22.8</v>
      </c>
      <c r="J218" s="265">
        <v>33.090000000000003</v>
      </c>
      <c r="K218" s="265">
        <v>34.090000000000003</v>
      </c>
    </row>
    <row r="219" spans="1:11" ht="28">
      <c r="A219" s="263" t="s">
        <v>466</v>
      </c>
      <c r="B219" s="265">
        <v>8.94</v>
      </c>
      <c r="C219" s="265">
        <v>18</v>
      </c>
      <c r="D219" s="265">
        <v>16.07</v>
      </c>
      <c r="E219" s="265">
        <v>18.010000000000002</v>
      </c>
      <c r="F219" s="265">
        <v>18.809999999999999</v>
      </c>
      <c r="G219" s="265">
        <v>20.010000000000002</v>
      </c>
      <c r="H219" s="265">
        <v>39.11</v>
      </c>
      <c r="I219" s="265">
        <v>37.31</v>
      </c>
      <c r="J219" s="265">
        <v>44.34</v>
      </c>
      <c r="K219" s="265">
        <v>54.52</v>
      </c>
    </row>
    <row r="220" spans="1:11">
      <c r="A220" s="261" t="s">
        <v>467</v>
      </c>
      <c r="B220" s="262"/>
      <c r="C220" s="262"/>
      <c r="D220" s="262"/>
      <c r="E220" s="262"/>
      <c r="F220" s="262"/>
      <c r="G220" s="262"/>
      <c r="H220" s="262"/>
      <c r="I220" s="262"/>
      <c r="J220" s="262"/>
      <c r="K220" s="262"/>
    </row>
    <row r="221" spans="1:11" ht="28">
      <c r="A221" s="263" t="s">
        <v>468</v>
      </c>
      <c r="B221" s="264">
        <v>4600</v>
      </c>
      <c r="C221" s="264">
        <v>4700</v>
      </c>
      <c r="D221" s="264">
        <v>5100</v>
      </c>
      <c r="E221" s="264">
        <v>5400</v>
      </c>
      <c r="F221" s="264">
        <v>5900</v>
      </c>
      <c r="G221" s="264">
        <v>5200</v>
      </c>
      <c r="H221" s="264">
        <v>5600</v>
      </c>
      <c r="I221" s="264">
        <v>6500</v>
      </c>
      <c r="J221" s="264">
        <v>9600</v>
      </c>
      <c r="K221" s="265">
        <v>10000</v>
      </c>
    </row>
    <row r="222" spans="1:11" ht="42">
      <c r="A222" s="263" t="s">
        <v>469</v>
      </c>
      <c r="B222" s="264">
        <v>4600</v>
      </c>
      <c r="C222" s="264">
        <v>4700</v>
      </c>
      <c r="D222" s="264">
        <v>5100</v>
      </c>
      <c r="E222" s="264">
        <v>5400</v>
      </c>
      <c r="F222" s="264">
        <v>5900</v>
      </c>
      <c r="G222" s="264">
        <v>5200</v>
      </c>
      <c r="H222" s="264">
        <v>5600</v>
      </c>
      <c r="I222" s="264">
        <v>6500</v>
      </c>
      <c r="J222" s="264">
        <v>9600</v>
      </c>
      <c r="K222" s="265">
        <v>10000</v>
      </c>
    </row>
  </sheetData>
  <mergeCells count="50">
    <mergeCell ref="G11"/>
    <mergeCell ref="H11"/>
    <mergeCell ref="I11"/>
    <mergeCell ref="J11"/>
    <mergeCell ref="K11"/>
    <mergeCell ref="B11"/>
    <mergeCell ref="C11"/>
    <mergeCell ref="D11"/>
    <mergeCell ref="E11"/>
    <mergeCell ref="F11"/>
    <mergeCell ref="B12"/>
    <mergeCell ref="B13"/>
    <mergeCell ref="B14"/>
    <mergeCell ref="B15"/>
    <mergeCell ref="C12"/>
    <mergeCell ref="C13"/>
    <mergeCell ref="C14"/>
    <mergeCell ref="C15"/>
    <mergeCell ref="D12"/>
    <mergeCell ref="D13"/>
    <mergeCell ref="D14"/>
    <mergeCell ref="D15"/>
    <mergeCell ref="E12"/>
    <mergeCell ref="E13"/>
    <mergeCell ref="E14"/>
    <mergeCell ref="E15"/>
    <mergeCell ref="F12"/>
    <mergeCell ref="F13"/>
    <mergeCell ref="F14"/>
    <mergeCell ref="F15"/>
    <mergeCell ref="G12"/>
    <mergeCell ref="G13"/>
    <mergeCell ref="G14"/>
    <mergeCell ref="G15"/>
    <mergeCell ref="H12"/>
    <mergeCell ref="H13"/>
    <mergeCell ref="H14"/>
    <mergeCell ref="H15"/>
    <mergeCell ref="I12"/>
    <mergeCell ref="I13"/>
    <mergeCell ref="I14"/>
    <mergeCell ref="I15"/>
    <mergeCell ref="J12"/>
    <mergeCell ref="J13"/>
    <mergeCell ref="J14"/>
    <mergeCell ref="J15"/>
    <mergeCell ref="K12"/>
    <mergeCell ref="K13"/>
    <mergeCell ref="K14"/>
    <mergeCell ref="K15"/>
  </mergeCells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57"/>
  <sheetViews>
    <sheetView showGridLines="0" topLeftCell="A26" zoomScale="131" workbookViewId="0">
      <selection activeCell="K14" sqref="K14"/>
    </sheetView>
  </sheetViews>
  <sheetFormatPr baseColWidth="10" defaultColWidth="14.5" defaultRowHeight="15" customHeight="1"/>
  <cols>
    <col min="1" max="1" width="10.83203125" customWidth="1"/>
    <col min="2" max="2" width="75" customWidth="1"/>
    <col min="3" max="7" width="10.83203125" hidden="1" customWidth="1"/>
    <col min="8" max="17" width="10.83203125" customWidth="1"/>
  </cols>
  <sheetData>
    <row r="1" spans="1:17" ht="29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5" t="s">
        <v>0</v>
      </c>
      <c r="B4" s="28" t="s">
        <v>83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"/>
    </row>
    <row r="5" spans="1:17">
      <c r="A5" s="5"/>
      <c r="B5" s="1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5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5"/>
      <c r="B7" s="1" t="s">
        <v>4</v>
      </c>
      <c r="C7" s="30">
        <f>2015</f>
        <v>2015</v>
      </c>
      <c r="D7" s="30">
        <f t="shared" ref="D7:P7" si="0">C7+1</f>
        <v>2016</v>
      </c>
      <c r="E7" s="30">
        <f t="shared" si="0"/>
        <v>2017</v>
      </c>
      <c r="F7" s="30">
        <f t="shared" si="0"/>
        <v>2018</v>
      </c>
      <c r="G7" s="30">
        <f t="shared" si="0"/>
        <v>2019</v>
      </c>
      <c r="H7" s="30">
        <f t="shared" si="0"/>
        <v>2020</v>
      </c>
      <c r="I7" s="30">
        <f t="shared" si="0"/>
        <v>2021</v>
      </c>
      <c r="J7" s="3">
        <f t="shared" si="0"/>
        <v>2022</v>
      </c>
      <c r="K7" s="31">
        <f>J7+1</f>
        <v>2023</v>
      </c>
      <c r="L7" s="31">
        <f t="shared" si="0"/>
        <v>2024</v>
      </c>
      <c r="M7" s="31">
        <f t="shared" si="0"/>
        <v>2025</v>
      </c>
      <c r="N7" s="31">
        <f t="shared" si="0"/>
        <v>2026</v>
      </c>
      <c r="O7" s="31">
        <f t="shared" si="0"/>
        <v>2027</v>
      </c>
      <c r="P7" s="31">
        <f t="shared" si="0"/>
        <v>2028</v>
      </c>
      <c r="Q7" s="2"/>
    </row>
    <row r="8" spans="1:17">
      <c r="A8" s="2"/>
      <c r="B8" s="2"/>
      <c r="C8" s="2"/>
      <c r="D8" s="2"/>
      <c r="E8" s="2"/>
      <c r="F8" s="2"/>
      <c r="G8" s="2"/>
      <c r="H8" s="2"/>
      <c r="I8" s="2"/>
      <c r="J8" s="7"/>
      <c r="K8" s="2"/>
      <c r="L8" s="2"/>
      <c r="M8" s="2"/>
      <c r="N8" s="2"/>
      <c r="O8" s="2"/>
      <c r="P8" s="2"/>
      <c r="Q8" s="2"/>
    </row>
    <row r="9" spans="1:17">
      <c r="A9" s="2"/>
      <c r="B9" s="27" t="s">
        <v>84</v>
      </c>
      <c r="C9" s="2"/>
      <c r="D9" s="2"/>
      <c r="E9" s="2"/>
      <c r="F9" s="2"/>
      <c r="G9" s="2"/>
      <c r="H9" s="2"/>
      <c r="I9" s="2"/>
      <c r="J9" s="7"/>
      <c r="K9" s="2"/>
      <c r="L9" s="2"/>
      <c r="M9" s="2"/>
      <c r="N9" s="2"/>
      <c r="O9" s="2"/>
      <c r="P9" s="2"/>
      <c r="Q9" s="2"/>
    </row>
    <row r="10" spans="1:17">
      <c r="A10" s="2"/>
      <c r="B10" s="24" t="s">
        <v>85</v>
      </c>
      <c r="C10" s="35">
        <v>11.768000000000001</v>
      </c>
      <c r="D10" s="35">
        <v>10.154</v>
      </c>
      <c r="E10" s="35">
        <v>29.251000000000001</v>
      </c>
      <c r="F10" s="35">
        <v>21.524000000000001</v>
      </c>
      <c r="G10" s="35">
        <v>53.33</v>
      </c>
      <c r="H10" s="35">
        <v>8.0939999999999994</v>
      </c>
      <c r="I10" s="35">
        <f>IS!I33</f>
        <v>36.114999999999995</v>
      </c>
      <c r="J10" s="35">
        <f>IS!J33</f>
        <v>43.860999999999947</v>
      </c>
      <c r="K10" s="36" t="e">
        <f>IS!K33</f>
        <v>#REF!</v>
      </c>
      <c r="L10" s="36" t="e">
        <f>IS!L33</f>
        <v>#REF!</v>
      </c>
      <c r="M10" s="36" t="e">
        <f>IS!M33</f>
        <v>#REF!</v>
      </c>
      <c r="N10" s="36" t="e">
        <f>IS!N33</f>
        <v>#REF!</v>
      </c>
      <c r="O10" s="36" t="e">
        <f>IS!O33</f>
        <v>#REF!</v>
      </c>
      <c r="P10" s="36" t="e">
        <f>IS!P33</f>
        <v>#REF!</v>
      </c>
      <c r="Q10" s="8"/>
    </row>
    <row r="11" spans="1:17">
      <c r="A11" s="2"/>
      <c r="B11" s="23" t="s">
        <v>86</v>
      </c>
      <c r="C11" s="35">
        <v>0.27600000000000002</v>
      </c>
      <c r="D11" s="35">
        <v>0.64800000000000002</v>
      </c>
      <c r="E11" s="35">
        <v>0.45300000000000001</v>
      </c>
      <c r="F11" s="35">
        <v>0.14899999999999999</v>
      </c>
      <c r="G11" s="35">
        <v>1.17</v>
      </c>
      <c r="H11" s="35"/>
      <c r="I11" s="35">
        <v>-0.77500000000000002</v>
      </c>
      <c r="J11" s="37">
        <v>1.1559999999999999</v>
      </c>
      <c r="K11" s="36"/>
      <c r="L11" s="36"/>
      <c r="M11" s="36"/>
      <c r="N11" s="36"/>
      <c r="O11" s="36"/>
      <c r="P11" s="36"/>
      <c r="Q11" s="8"/>
    </row>
    <row r="12" spans="1:17">
      <c r="A12" s="2"/>
      <c r="B12" s="20" t="s">
        <v>87</v>
      </c>
      <c r="C12" s="35">
        <v>1.5589999999999999</v>
      </c>
      <c r="D12" s="35">
        <v>2.0710000000000002</v>
      </c>
      <c r="E12" s="35">
        <v>2.0550000000000002</v>
      </c>
      <c r="F12" s="35">
        <v>0.27300000000000002</v>
      </c>
      <c r="G12" s="35">
        <v>-0.123</v>
      </c>
      <c r="H12" s="35">
        <v>-2.5870000000000002</v>
      </c>
      <c r="I12" s="35">
        <v>2.4940000000000002</v>
      </c>
      <c r="J12" s="2">
        <v>-1.0289999999999999</v>
      </c>
      <c r="K12" s="36"/>
      <c r="L12" s="36"/>
      <c r="M12" s="36"/>
      <c r="N12" s="36"/>
      <c r="O12" s="36"/>
      <c r="P12" s="36"/>
      <c r="Q12" s="8"/>
    </row>
    <row r="13" spans="1:17">
      <c r="A13" s="2"/>
      <c r="B13" s="20" t="s">
        <v>88</v>
      </c>
      <c r="C13" s="35"/>
      <c r="D13" s="35"/>
      <c r="E13" s="35"/>
      <c r="F13" s="35">
        <v>3.319</v>
      </c>
      <c r="G13" s="35">
        <v>-3.2719999999999998</v>
      </c>
      <c r="H13" s="35">
        <v>-55.274999999999999</v>
      </c>
      <c r="I13" s="35">
        <v>-8.9999999999999993E-3</v>
      </c>
      <c r="J13" s="2">
        <v>-37.637</v>
      </c>
      <c r="K13" s="36"/>
      <c r="L13" s="36"/>
      <c r="M13" s="36"/>
      <c r="N13" s="36"/>
      <c r="O13" s="36"/>
      <c r="P13" s="36"/>
      <c r="Q13" s="8"/>
    </row>
    <row r="14" spans="1:17">
      <c r="A14" s="2"/>
      <c r="B14" s="20" t="s">
        <v>89</v>
      </c>
      <c r="C14" s="35"/>
      <c r="D14" s="35"/>
      <c r="E14" s="35"/>
      <c r="F14" s="35"/>
      <c r="G14" s="35"/>
      <c r="H14" s="35">
        <v>3.3740000000000001</v>
      </c>
      <c r="I14" s="35">
        <v>0.44800000000000001</v>
      </c>
      <c r="J14" s="2">
        <v>2.923</v>
      </c>
      <c r="K14" s="36"/>
      <c r="L14" s="36"/>
      <c r="M14" s="36"/>
      <c r="N14" s="36"/>
      <c r="O14" s="36"/>
      <c r="P14" s="36"/>
      <c r="Q14" s="8"/>
    </row>
    <row r="15" spans="1:17">
      <c r="A15" s="2"/>
      <c r="B15" s="20" t="s">
        <v>90</v>
      </c>
      <c r="C15" s="35">
        <v>0.39100000000000001</v>
      </c>
      <c r="D15" s="35">
        <v>0.78600000000000003</v>
      </c>
      <c r="E15" s="35">
        <v>0.96499999999999997</v>
      </c>
      <c r="F15" s="35">
        <v>0.9</v>
      </c>
      <c r="G15" s="35">
        <v>0.7</v>
      </c>
      <c r="H15" s="35">
        <v>5.6000000000000001E-2</v>
      </c>
      <c r="I15" s="35">
        <v>1.24</v>
      </c>
      <c r="J15" s="2">
        <v>0.89300000000000002</v>
      </c>
      <c r="K15" s="36"/>
      <c r="L15" s="36"/>
      <c r="M15" s="36"/>
      <c r="N15" s="36"/>
      <c r="O15" s="36"/>
      <c r="P15" s="36"/>
      <c r="Q15" s="8"/>
    </row>
    <row r="16" spans="1:17">
      <c r="A16" s="2"/>
      <c r="B16" s="20" t="s">
        <v>91</v>
      </c>
      <c r="C16" s="35">
        <v>5.8079999999999998</v>
      </c>
      <c r="D16" s="35">
        <v>6.49</v>
      </c>
      <c r="E16" s="35">
        <v>17.734000000000002</v>
      </c>
      <c r="F16" s="35">
        <v>21.721</v>
      </c>
      <c r="G16" s="35">
        <v>22.134</v>
      </c>
      <c r="H16" s="35">
        <v>-2.9580000000000002</v>
      </c>
      <c r="I16" s="35">
        <v>29.715</v>
      </c>
      <c r="J16" s="2">
        <v>-13.298</v>
      </c>
      <c r="K16" s="36"/>
      <c r="L16" s="36"/>
      <c r="M16" s="36"/>
      <c r="N16" s="36"/>
      <c r="O16" s="36"/>
      <c r="P16" s="36"/>
      <c r="Q16" s="8"/>
    </row>
    <row r="17" spans="1:17">
      <c r="A17" s="2"/>
      <c r="B17" s="20" t="s">
        <v>92</v>
      </c>
      <c r="C17" s="35">
        <v>0.108</v>
      </c>
      <c r="D17" s="35">
        <v>0.10299999999999999</v>
      </c>
      <c r="E17" s="35">
        <v>9.7000000000000003E-2</v>
      </c>
      <c r="F17" s="35">
        <v>0.108</v>
      </c>
      <c r="G17" s="35">
        <v>0.108</v>
      </c>
      <c r="H17" s="35">
        <v>-0.80100000000000005</v>
      </c>
      <c r="I17" s="35">
        <v>15.823</v>
      </c>
      <c r="J17" s="2">
        <v>1.1639999999999999</v>
      </c>
      <c r="K17" s="36"/>
      <c r="L17" s="36"/>
      <c r="M17" s="36"/>
      <c r="N17" s="36"/>
      <c r="O17" s="36"/>
      <c r="P17" s="36"/>
      <c r="Q17" s="8"/>
    </row>
    <row r="18" spans="1:17">
      <c r="A18" s="2"/>
      <c r="B18" s="20" t="s">
        <v>93</v>
      </c>
      <c r="C18" s="35"/>
      <c r="D18" s="35"/>
      <c r="E18" s="35"/>
      <c r="F18" s="35"/>
      <c r="G18" s="35">
        <v>7.6</v>
      </c>
      <c r="H18" s="35">
        <v>0</v>
      </c>
      <c r="I18" s="35">
        <v>9.6920000000000002</v>
      </c>
      <c r="J18" s="2">
        <v>0</v>
      </c>
      <c r="K18" s="36"/>
      <c r="L18" s="36"/>
      <c r="M18" s="36"/>
      <c r="N18" s="36"/>
      <c r="O18" s="36"/>
      <c r="P18" s="36"/>
      <c r="Q18" s="8"/>
    </row>
    <row r="19" spans="1:17">
      <c r="A19" s="2"/>
      <c r="B19" s="20" t="s">
        <v>94</v>
      </c>
      <c r="C19" s="35"/>
      <c r="D19" s="35"/>
      <c r="E19" s="35"/>
      <c r="F19" s="35"/>
      <c r="G19" s="35"/>
      <c r="H19" s="35">
        <v>1.3240000000000001</v>
      </c>
      <c r="I19" s="35"/>
      <c r="J19" s="2">
        <v>-3.4430000000000001</v>
      </c>
      <c r="K19" s="36"/>
      <c r="L19" s="36"/>
      <c r="M19" s="36"/>
      <c r="N19" s="36"/>
      <c r="O19" s="36"/>
      <c r="P19" s="36"/>
      <c r="Q19" s="8"/>
    </row>
    <row r="20" spans="1:17">
      <c r="A20" s="2"/>
      <c r="B20" s="20" t="s">
        <v>95</v>
      </c>
      <c r="C20" s="35"/>
      <c r="D20" s="35"/>
      <c r="E20" s="35"/>
      <c r="F20" s="35"/>
      <c r="G20" s="35"/>
      <c r="H20" s="35">
        <v>-1.6970000000000001</v>
      </c>
      <c r="I20" s="35"/>
      <c r="J20" s="2">
        <v>0.41699999999999998</v>
      </c>
      <c r="K20" s="36"/>
      <c r="L20" s="36"/>
      <c r="M20" s="36"/>
      <c r="N20" s="36"/>
      <c r="O20" s="36"/>
      <c r="P20" s="36"/>
      <c r="Q20" s="8"/>
    </row>
    <row r="21" spans="1:17" ht="15.75" customHeight="1">
      <c r="A21" s="2"/>
      <c r="B21" s="20" t="s">
        <v>96</v>
      </c>
      <c r="C21" s="35">
        <v>-3.552</v>
      </c>
      <c r="D21" s="35">
        <v>-4.8369999999999997</v>
      </c>
      <c r="E21" s="35">
        <v>2.488</v>
      </c>
      <c r="F21" s="35">
        <v>-11.481999999999999</v>
      </c>
      <c r="G21" s="35">
        <v>2.5990000000000002</v>
      </c>
      <c r="H21" s="35">
        <v>-5.8940000000000001</v>
      </c>
      <c r="I21" s="35">
        <v>-10.115</v>
      </c>
      <c r="J21" s="2">
        <v>-1.5049999999999999</v>
      </c>
      <c r="K21" s="36"/>
      <c r="L21" s="36"/>
      <c r="M21" s="36"/>
      <c r="N21" s="36"/>
      <c r="O21" s="36"/>
      <c r="P21" s="36"/>
      <c r="Q21" s="8"/>
    </row>
    <row r="22" spans="1:17" ht="15.75" customHeight="1">
      <c r="A22" s="2"/>
      <c r="B22" s="20" t="s">
        <v>97</v>
      </c>
      <c r="C22" s="35"/>
      <c r="D22" s="35"/>
      <c r="E22" s="35"/>
      <c r="F22" s="35"/>
      <c r="G22" s="35"/>
      <c r="H22" s="35">
        <v>1.776</v>
      </c>
      <c r="I22" s="35"/>
      <c r="J22" s="2">
        <v>-18.027000000000001</v>
      </c>
      <c r="K22" s="36"/>
      <c r="L22" s="36"/>
      <c r="M22" s="36"/>
      <c r="N22" s="36"/>
      <c r="O22" s="36"/>
      <c r="P22" s="36"/>
      <c r="Q22" s="8"/>
    </row>
    <row r="23" spans="1:17" ht="15.75" customHeight="1">
      <c r="A23" s="2"/>
      <c r="B23" s="20" t="s">
        <v>98</v>
      </c>
      <c r="C23" s="35">
        <v>-0.47</v>
      </c>
      <c r="D23" s="35">
        <v>-0.23</v>
      </c>
      <c r="E23" s="35"/>
      <c r="F23" s="35"/>
      <c r="G23" s="35">
        <v>-0.19800000000000001</v>
      </c>
      <c r="H23" s="35">
        <v>-0.95699999999999996</v>
      </c>
      <c r="I23" s="35"/>
      <c r="J23" s="2">
        <v>-2.5230000000000001</v>
      </c>
      <c r="K23" s="36"/>
      <c r="L23" s="36"/>
      <c r="M23" s="36"/>
      <c r="N23" s="36"/>
      <c r="O23" s="36"/>
      <c r="P23" s="36"/>
      <c r="Q23" s="8"/>
    </row>
    <row r="24" spans="1:17" ht="15.75" customHeight="1">
      <c r="A24" s="2"/>
      <c r="B24" s="20" t="s">
        <v>99</v>
      </c>
      <c r="C24" s="35"/>
      <c r="D24" s="35"/>
      <c r="E24" s="35"/>
      <c r="F24" s="35"/>
      <c r="G24" s="35"/>
      <c r="H24" s="35">
        <v>0</v>
      </c>
      <c r="I24" s="35"/>
      <c r="J24" s="2">
        <v>0</v>
      </c>
      <c r="K24" s="36"/>
      <c r="L24" s="36"/>
      <c r="M24" s="36"/>
      <c r="N24" s="36"/>
      <c r="O24" s="36"/>
      <c r="P24" s="36"/>
      <c r="Q24" s="8"/>
    </row>
    <row r="25" spans="1:17" ht="15.75" customHeight="1">
      <c r="A25" s="2"/>
      <c r="B25" s="20" t="s">
        <v>100</v>
      </c>
      <c r="C25" s="35">
        <v>0.68100000000000005</v>
      </c>
      <c r="D25" s="35">
        <v>8.1000000000000003E-2</v>
      </c>
      <c r="E25" s="35">
        <v>0.12</v>
      </c>
      <c r="F25" s="35"/>
      <c r="G25" s="35"/>
      <c r="H25" s="35">
        <v>0</v>
      </c>
      <c r="I25" s="35"/>
      <c r="J25" s="2">
        <v>0</v>
      </c>
      <c r="K25" s="36"/>
      <c r="L25" s="36"/>
      <c r="M25" s="36"/>
      <c r="N25" s="36"/>
      <c r="O25" s="36"/>
      <c r="P25" s="36"/>
      <c r="Q25" s="8"/>
    </row>
    <row r="26" spans="1:17" ht="15.75" customHeight="1">
      <c r="A26" s="2"/>
      <c r="B26" s="23" t="s">
        <v>101</v>
      </c>
      <c r="C26" s="35">
        <v>3.347</v>
      </c>
      <c r="D26" s="35">
        <v>4.0010000000000003</v>
      </c>
      <c r="E26" s="35">
        <v>7.4130000000000003</v>
      </c>
      <c r="F26" s="35">
        <v>13.429</v>
      </c>
      <c r="G26" s="35">
        <v>20.603000000000002</v>
      </c>
      <c r="H26" s="35"/>
      <c r="I26" s="35">
        <v>38.694000000000003</v>
      </c>
      <c r="J26" s="2">
        <v>0</v>
      </c>
      <c r="K26" s="36"/>
      <c r="L26" s="36"/>
      <c r="M26" s="36"/>
      <c r="N26" s="36"/>
      <c r="O26" s="36"/>
      <c r="P26" s="36"/>
      <c r="Q26" s="8"/>
    </row>
    <row r="27" spans="1:17" ht="15.75" customHeight="1">
      <c r="A27" s="2"/>
      <c r="B27" s="20" t="s">
        <v>102</v>
      </c>
      <c r="C27" s="35"/>
      <c r="D27" s="35"/>
      <c r="E27" s="35"/>
      <c r="F27" s="35"/>
      <c r="G27" s="35"/>
      <c r="H27" s="35">
        <v>-16.975999999999999</v>
      </c>
      <c r="I27" s="35">
        <v>0.185</v>
      </c>
      <c r="J27" s="2">
        <v>0</v>
      </c>
      <c r="K27" s="36"/>
      <c r="L27" s="36"/>
      <c r="M27" s="36"/>
      <c r="N27" s="36"/>
      <c r="O27" s="36"/>
      <c r="P27" s="36"/>
      <c r="Q27" s="8"/>
    </row>
    <row r="28" spans="1:17" ht="15.75" customHeight="1">
      <c r="A28" s="2">
        <v>1000</v>
      </c>
      <c r="B28" s="20" t="s">
        <v>103</v>
      </c>
      <c r="C28" s="35"/>
      <c r="D28" s="35"/>
      <c r="E28" s="35">
        <v>0.82799999999999996</v>
      </c>
      <c r="F28" s="35">
        <v>1.41</v>
      </c>
      <c r="G28" s="35"/>
      <c r="H28" s="35">
        <v>3.1</v>
      </c>
      <c r="I28" s="35"/>
      <c r="J28" s="2">
        <v>52.771000000000001</v>
      </c>
      <c r="K28" s="36"/>
      <c r="L28" s="36"/>
      <c r="M28" s="36"/>
      <c r="N28" s="36"/>
      <c r="O28" s="36"/>
      <c r="P28" s="36"/>
      <c r="Q28" s="8"/>
    </row>
    <row r="29" spans="1:17" ht="15.75" customHeight="1">
      <c r="A29" s="2"/>
      <c r="B29" s="20" t="s">
        <v>104</v>
      </c>
      <c r="C29" s="35"/>
      <c r="D29" s="35"/>
      <c r="E29" s="35"/>
      <c r="F29" s="35"/>
      <c r="G29" s="35">
        <v>-6.931</v>
      </c>
      <c r="H29" s="35">
        <v>0</v>
      </c>
      <c r="I29" s="35"/>
      <c r="J29" s="2">
        <v>4.1950000000000003</v>
      </c>
      <c r="K29" s="36"/>
      <c r="L29" s="36"/>
      <c r="M29" s="36"/>
      <c r="N29" s="36"/>
      <c r="O29" s="36"/>
      <c r="P29" s="36"/>
      <c r="Q29" s="8"/>
    </row>
    <row r="30" spans="1:17" ht="15.75" customHeight="1">
      <c r="A30" s="2"/>
      <c r="B30" s="20" t="s">
        <v>105</v>
      </c>
      <c r="C30" s="35"/>
      <c r="D30" s="35"/>
      <c r="E30" s="35"/>
      <c r="F30" s="35"/>
      <c r="G30" s="35">
        <v>0.85</v>
      </c>
      <c r="H30" s="35">
        <v>-5.1280000000000001</v>
      </c>
      <c r="I30" s="21">
        <v>-2.383</v>
      </c>
      <c r="J30" s="2">
        <v>-7.133</v>
      </c>
      <c r="K30" s="36"/>
      <c r="L30" s="36"/>
      <c r="M30" s="36"/>
      <c r="N30" s="36"/>
      <c r="O30" s="36"/>
      <c r="P30" s="36"/>
      <c r="Q30" s="8"/>
    </row>
    <row r="31" spans="1:17" ht="15.75" customHeight="1">
      <c r="A31" s="2"/>
      <c r="B31" s="20" t="s">
        <v>106</v>
      </c>
      <c r="C31" s="35"/>
      <c r="D31" s="35"/>
      <c r="E31" s="35"/>
      <c r="F31" s="35"/>
      <c r="G31" s="35">
        <v>0.60499999999999998</v>
      </c>
      <c r="H31" s="35">
        <v>-2.137</v>
      </c>
      <c r="I31" s="21">
        <v>-1.508</v>
      </c>
      <c r="J31" s="2">
        <v>-8.4619999999999997</v>
      </c>
      <c r="K31" s="36"/>
      <c r="L31" s="36"/>
      <c r="M31" s="36"/>
      <c r="N31" s="36"/>
      <c r="O31" s="36"/>
      <c r="P31" s="36"/>
      <c r="Q31" s="8"/>
    </row>
    <row r="32" spans="1:17" ht="15.75" customHeight="1">
      <c r="A32" s="2"/>
      <c r="B32" s="20" t="s">
        <v>107</v>
      </c>
      <c r="C32" s="35"/>
      <c r="D32" s="35"/>
      <c r="E32" s="35"/>
      <c r="F32" s="35"/>
      <c r="G32" s="35"/>
      <c r="H32" s="35">
        <v>-21.140999999999998</v>
      </c>
      <c r="I32" s="35"/>
      <c r="J32" s="2">
        <v>41.371000000000002</v>
      </c>
      <c r="K32" s="36"/>
      <c r="L32" s="36"/>
      <c r="M32" s="36"/>
      <c r="N32" s="36"/>
      <c r="O32" s="36"/>
      <c r="P32" s="36"/>
      <c r="Q32" s="8"/>
    </row>
    <row r="33" spans="1:17" ht="15.75" customHeight="1">
      <c r="A33" s="2"/>
      <c r="B33" s="38"/>
      <c r="C33" s="35"/>
      <c r="D33" s="35"/>
      <c r="E33" s="35"/>
      <c r="F33" s="35"/>
      <c r="G33" s="35"/>
      <c r="H33" s="35"/>
      <c r="I33" s="35"/>
      <c r="J33" s="37"/>
      <c r="K33" s="35"/>
      <c r="L33" s="35"/>
      <c r="M33" s="35"/>
      <c r="N33" s="35"/>
      <c r="O33" s="35"/>
      <c r="P33" s="35"/>
      <c r="Q33" s="2"/>
    </row>
    <row r="34" spans="1:17" ht="15.75" customHeight="1">
      <c r="A34" s="2"/>
      <c r="B34" s="27" t="s">
        <v>108</v>
      </c>
      <c r="C34" s="39" t="e">
        <f>SUM(#REF!,#REF!,#REF!)</f>
        <v>#REF!</v>
      </c>
      <c r="D34" s="39" t="e">
        <f>SUM(#REF!,#REF!,#REF!)</f>
        <v>#REF!</v>
      </c>
      <c r="E34" s="39" t="e">
        <f>SUM(#REF!,#REF!,#REF!)</f>
        <v>#REF!</v>
      </c>
      <c r="F34" s="39" t="e">
        <f>SUM(#REF!,#REF!,#REF!)</f>
        <v>#REF!</v>
      </c>
      <c r="G34" s="39" t="e">
        <f>SUM(#REF!,#REF!,#REF!)</f>
        <v>#REF!</v>
      </c>
      <c r="H34" s="39" t="e">
        <f>SUM(#REF!,#REF!,#REF!)</f>
        <v>#REF!</v>
      </c>
      <c r="I34" s="39" t="e">
        <f>SUM(#REF!,#REF!,#REF!)</f>
        <v>#REF!</v>
      </c>
      <c r="J34" s="40" t="e">
        <f>SUM(#REF!,#REF!,#REF!)</f>
        <v>#REF!</v>
      </c>
      <c r="K34" s="39"/>
      <c r="L34" s="39"/>
      <c r="M34" s="39"/>
      <c r="N34" s="39"/>
      <c r="O34" s="39"/>
      <c r="P34" s="39"/>
      <c r="Q34" s="2"/>
    </row>
    <row r="35" spans="1:17" ht="15.75" customHeight="1">
      <c r="A35" s="2"/>
      <c r="B35" s="38"/>
      <c r="C35" s="35"/>
      <c r="D35" s="35"/>
      <c r="E35" s="35"/>
      <c r="F35" s="35"/>
      <c r="G35" s="35"/>
      <c r="H35" s="35"/>
      <c r="I35" s="35"/>
      <c r="J35" s="37"/>
      <c r="K35" s="35"/>
      <c r="L35" s="35"/>
      <c r="M35" s="35"/>
      <c r="N35" s="35"/>
      <c r="O35" s="35"/>
      <c r="P35" s="35"/>
      <c r="Q35" s="2"/>
    </row>
    <row r="36" spans="1:17" ht="15.75" customHeight="1">
      <c r="A36" s="2"/>
      <c r="B36" s="27" t="s">
        <v>109</v>
      </c>
      <c r="C36" s="35"/>
      <c r="D36" s="35"/>
      <c r="E36" s="35"/>
      <c r="F36" s="35"/>
      <c r="G36" s="35"/>
      <c r="H36" s="35"/>
      <c r="I36" s="35"/>
      <c r="J36" s="37"/>
      <c r="K36" s="36"/>
      <c r="L36" s="36"/>
      <c r="M36" s="36"/>
      <c r="N36" s="36"/>
      <c r="O36" s="36"/>
      <c r="P36" s="36"/>
      <c r="Q36" s="2"/>
    </row>
    <row r="37" spans="1:17" ht="15.75" customHeight="1">
      <c r="A37" s="2"/>
      <c r="B37" s="27" t="s">
        <v>110</v>
      </c>
      <c r="C37" s="35"/>
      <c r="D37" s="35"/>
      <c r="E37" s="35"/>
      <c r="F37" s="35"/>
      <c r="G37" s="35"/>
      <c r="H37" s="35"/>
      <c r="I37" s="35"/>
      <c r="J37" s="37"/>
      <c r="K37" s="36"/>
      <c r="L37" s="36"/>
      <c r="M37" s="36"/>
      <c r="N37" s="36"/>
      <c r="O37" s="36"/>
      <c r="P37" s="36"/>
      <c r="Q37" s="2"/>
    </row>
    <row r="38" spans="1:17" ht="15.75" customHeight="1">
      <c r="A38" s="2"/>
      <c r="B38" s="38"/>
      <c r="C38" s="35"/>
      <c r="D38" s="35"/>
      <c r="E38" s="35"/>
      <c r="F38" s="35"/>
      <c r="G38" s="35"/>
      <c r="H38" s="35"/>
      <c r="I38" s="35"/>
      <c r="J38" s="37"/>
      <c r="K38" s="36"/>
      <c r="L38" s="36"/>
      <c r="M38" s="36"/>
      <c r="N38" s="36"/>
      <c r="O38" s="36"/>
      <c r="P38" s="36"/>
      <c r="Q38" s="2"/>
    </row>
    <row r="39" spans="1:17" ht="15.75" customHeight="1">
      <c r="A39" s="2"/>
      <c r="B39" s="24" t="s">
        <v>111</v>
      </c>
      <c r="C39" s="35">
        <v>0.17499999999999999</v>
      </c>
      <c r="D39" s="35">
        <v>0.18099999999999999</v>
      </c>
      <c r="E39" s="35">
        <v>2.0099999999999998</v>
      </c>
      <c r="F39" s="35">
        <v>2.6949999999999998</v>
      </c>
      <c r="G39" s="35">
        <v>2.73</v>
      </c>
      <c r="H39" s="35">
        <v>2.427</v>
      </c>
      <c r="I39" s="35">
        <v>0.114</v>
      </c>
      <c r="J39" s="37">
        <v>0</v>
      </c>
      <c r="K39" s="36"/>
      <c r="L39" s="36"/>
      <c r="M39" s="36"/>
      <c r="N39" s="36"/>
      <c r="O39" s="36"/>
      <c r="P39" s="36"/>
      <c r="Q39" s="2"/>
    </row>
    <row r="40" spans="1:17" ht="15.75" customHeight="1">
      <c r="A40" s="2"/>
      <c r="B40" s="24" t="s">
        <v>112</v>
      </c>
      <c r="C40" s="35">
        <v>8.5079999999999991</v>
      </c>
      <c r="D40" s="35">
        <v>6.0209999999999999</v>
      </c>
      <c r="E40" s="35">
        <v>1.8049999999999999</v>
      </c>
      <c r="F40" s="35">
        <v>-2.052</v>
      </c>
      <c r="G40" s="35">
        <v>2.254</v>
      </c>
      <c r="H40" s="35">
        <v>7.3689999999999998</v>
      </c>
      <c r="I40" s="35">
        <v>4.1459999999999999</v>
      </c>
      <c r="J40" s="37">
        <v>7.4530000000000003</v>
      </c>
      <c r="K40" s="36"/>
      <c r="L40" s="36"/>
      <c r="M40" s="36"/>
      <c r="N40" s="36"/>
      <c r="O40" s="36"/>
      <c r="P40" s="36"/>
      <c r="Q40" s="2"/>
    </row>
    <row r="41" spans="1:1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</sheetData>
  <phoneticPr fontId="65" type="noConversion"/>
  <pageMargins left="0.7" right="0.7" top="0.75" bottom="0.75" header="0" footer="0"/>
  <pageSetup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999"/>
  <sheetViews>
    <sheetView showGridLines="0" workbookViewId="0">
      <selection activeCell="Q1" sqref="Q1"/>
    </sheetView>
  </sheetViews>
  <sheetFormatPr baseColWidth="10" defaultColWidth="14.5" defaultRowHeight="15" customHeight="1"/>
  <cols>
    <col min="1" max="1" width="10.83203125" customWidth="1"/>
    <col min="2" max="2" width="58.33203125" customWidth="1"/>
    <col min="3" max="7" width="10.83203125" hidden="1" customWidth="1"/>
    <col min="8" max="10" width="10.83203125" customWidth="1"/>
    <col min="11" max="11" width="12.83203125" customWidth="1"/>
    <col min="12" max="17" width="10.83203125" customWidth="1"/>
  </cols>
  <sheetData>
    <row r="1" spans="1:17" ht="29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5" t="s">
        <v>0</v>
      </c>
      <c r="B5" s="28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"/>
    </row>
    <row r="6" spans="1:17">
      <c r="A6" s="5"/>
      <c r="B6" s="1" t="s">
        <v>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5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5"/>
      <c r="B8" s="1" t="s">
        <v>4</v>
      </c>
      <c r="C8" s="30">
        <f>2015</f>
        <v>2015</v>
      </c>
      <c r="D8" s="30">
        <f t="shared" ref="D8:P8" si="0">C8+1</f>
        <v>2016</v>
      </c>
      <c r="E8" s="30">
        <f t="shared" si="0"/>
        <v>2017</v>
      </c>
      <c r="F8" s="30">
        <f t="shared" si="0"/>
        <v>2018</v>
      </c>
      <c r="G8" s="30">
        <f t="shared" si="0"/>
        <v>2019</v>
      </c>
      <c r="H8" s="30">
        <f t="shared" si="0"/>
        <v>2020</v>
      </c>
      <c r="I8" s="30">
        <f t="shared" si="0"/>
        <v>2021</v>
      </c>
      <c r="J8" s="3">
        <f t="shared" si="0"/>
        <v>2022</v>
      </c>
      <c r="K8" s="31">
        <f t="shared" si="0"/>
        <v>2023</v>
      </c>
      <c r="L8" s="31">
        <f t="shared" si="0"/>
        <v>2024</v>
      </c>
      <c r="M8" s="31">
        <f t="shared" si="0"/>
        <v>2025</v>
      </c>
      <c r="N8" s="31">
        <f t="shared" si="0"/>
        <v>2026</v>
      </c>
      <c r="O8" s="31">
        <f t="shared" si="0"/>
        <v>2027</v>
      </c>
      <c r="P8" s="31">
        <f t="shared" si="0"/>
        <v>2028</v>
      </c>
      <c r="Q8" s="2"/>
    </row>
    <row r="9" spans="1:17">
      <c r="A9" s="5"/>
      <c r="B9" s="24" t="s">
        <v>35</v>
      </c>
      <c r="C9" s="25">
        <v>140.93600000000001</v>
      </c>
      <c r="D9" s="25">
        <v>173.54</v>
      </c>
      <c r="E9" s="25">
        <v>236.28299999999999</v>
      </c>
      <c r="F9" s="25">
        <v>291.072</v>
      </c>
      <c r="G9" s="25">
        <v>337.375</v>
      </c>
      <c r="H9" s="25">
        <v>53.639000000000003</v>
      </c>
      <c r="I9" s="25">
        <v>87.460999999999999</v>
      </c>
      <c r="J9" s="26">
        <v>101.511</v>
      </c>
      <c r="K9" s="6">
        <f>'Costs &amp; Expenses Build'!F13</f>
        <v>3194.2330541452993</v>
      </c>
      <c r="L9" s="6">
        <f>'Costs &amp; Expenses Build'!G13</f>
        <v>3804.4353842597088</v>
      </c>
      <c r="M9" s="6">
        <f>'Costs &amp; Expenses Build'!H13</f>
        <v>4542.6668654012965</v>
      </c>
      <c r="N9" s="6">
        <f>'Costs &amp; Expenses Build'!I13</f>
        <v>5457.8679292829447</v>
      </c>
      <c r="O9" s="6">
        <f>'Costs &amp; Expenses Build'!J13</f>
        <v>6629.9449065434583</v>
      </c>
      <c r="P9" s="6" t="e">
        <f>'Costs &amp; Expenses Build'!#REF!</f>
        <v>#REF!</v>
      </c>
      <c r="Q9" s="2"/>
    </row>
    <row r="10" spans="1:17">
      <c r="A10" s="5"/>
      <c r="B10" s="24" t="s">
        <v>36</v>
      </c>
      <c r="C10" s="25"/>
      <c r="D10" s="25"/>
      <c r="E10" s="25"/>
      <c r="F10" s="25"/>
      <c r="G10" s="25"/>
      <c r="H10" s="25">
        <v>45.072000000000003</v>
      </c>
      <c r="I10" s="25">
        <v>144.54900000000001</v>
      </c>
      <c r="J10" s="26">
        <v>176.096</v>
      </c>
      <c r="K10" s="6"/>
      <c r="L10" s="6"/>
      <c r="M10" s="6"/>
      <c r="N10" s="6"/>
      <c r="O10" s="6"/>
      <c r="P10" s="6"/>
      <c r="Q10" s="2"/>
    </row>
    <row r="11" spans="1:17">
      <c r="A11" s="5"/>
      <c r="B11" s="27" t="s">
        <v>8</v>
      </c>
      <c r="C11" s="25"/>
      <c r="D11" s="25"/>
      <c r="E11" s="25"/>
      <c r="F11" s="25"/>
      <c r="G11" s="25"/>
      <c r="H11" s="25">
        <f>SUM(H9:H10)</f>
        <v>98.711000000000013</v>
      </c>
      <c r="I11" s="25">
        <f t="shared" ref="I11:J11" si="1">SUM(I9:I10)</f>
        <v>232.01</v>
      </c>
      <c r="J11" s="25">
        <f t="shared" si="1"/>
        <v>277.60699999999997</v>
      </c>
      <c r="K11" s="6"/>
      <c r="L11" s="6"/>
      <c r="M11" s="6"/>
      <c r="N11" s="6"/>
      <c r="O11" s="6"/>
      <c r="P11" s="6"/>
      <c r="Q11" s="2"/>
    </row>
    <row r="12" spans="1:17">
      <c r="A12" s="5"/>
      <c r="B12" s="24" t="s">
        <v>37</v>
      </c>
      <c r="C12" s="25"/>
      <c r="D12" s="25"/>
      <c r="E12" s="25"/>
      <c r="F12" s="25"/>
      <c r="G12" s="25"/>
      <c r="H12" s="25">
        <v>103.899</v>
      </c>
      <c r="I12" s="25">
        <v>99.899000000000001</v>
      </c>
      <c r="J12" s="26">
        <v>95.257999999999996</v>
      </c>
      <c r="K12" s="6"/>
      <c r="L12" s="6"/>
      <c r="M12" s="6"/>
      <c r="N12" s="6"/>
      <c r="O12" s="6"/>
      <c r="P12" s="6"/>
      <c r="Q12" s="2"/>
    </row>
    <row r="13" spans="1:17">
      <c r="A13" s="5"/>
      <c r="B13" s="24" t="s">
        <v>38</v>
      </c>
      <c r="C13" s="25"/>
      <c r="D13" s="25"/>
      <c r="E13" s="25"/>
      <c r="F13" s="25"/>
      <c r="G13" s="25"/>
      <c r="H13" s="25">
        <v>6.3280000000000003</v>
      </c>
      <c r="I13" s="25">
        <v>8.5280000000000005</v>
      </c>
      <c r="J13" s="26">
        <v>11.942</v>
      </c>
      <c r="K13" s="6"/>
      <c r="L13" s="6"/>
      <c r="M13" s="6"/>
      <c r="N13" s="6"/>
      <c r="O13" s="6"/>
      <c r="P13" s="6"/>
      <c r="Q13" s="2"/>
    </row>
    <row r="14" spans="1:17">
      <c r="A14" s="5"/>
      <c r="B14" s="24" t="s">
        <v>39</v>
      </c>
      <c r="C14" s="25">
        <v>67.951999999999998</v>
      </c>
      <c r="D14" s="25">
        <v>87.566000000000003</v>
      </c>
      <c r="E14" s="25">
        <v>102.654</v>
      </c>
      <c r="F14" s="25">
        <v>129.422</v>
      </c>
      <c r="G14" s="25">
        <v>164.988</v>
      </c>
      <c r="H14" s="25">
        <v>0</v>
      </c>
      <c r="I14" s="25">
        <v>0</v>
      </c>
      <c r="J14" s="26">
        <v>23.736999999999998</v>
      </c>
      <c r="K14" s="6">
        <f>'Costs &amp; Expenses Build'!F11</f>
        <v>1375.8749457654417</v>
      </c>
      <c r="L14" s="6">
        <f>'Costs &amp; Expenses Build'!G11</f>
        <v>1575.6166669849199</v>
      </c>
      <c r="M14" s="6">
        <f>'Costs &amp; Expenses Build'!H11</f>
        <v>1732.050019339355</v>
      </c>
      <c r="N14" s="6">
        <f>'Costs &amp; Expenses Build'!I11</f>
        <v>1937.0613303841574</v>
      </c>
      <c r="O14" s="6">
        <f>'Costs &amp; Expenses Build'!J11</f>
        <v>2188.4462526190123</v>
      </c>
      <c r="P14" s="6" t="e">
        <f>'Costs &amp; Expenses Build'!#REF!</f>
        <v>#REF!</v>
      </c>
      <c r="Q14" s="2"/>
    </row>
    <row r="15" spans="1:17">
      <c r="A15" s="5"/>
      <c r="B15" s="27" t="s">
        <v>10</v>
      </c>
      <c r="C15" s="25"/>
      <c r="D15" s="25"/>
      <c r="E15" s="25"/>
      <c r="F15" s="25"/>
      <c r="G15" s="25"/>
      <c r="H15" s="25">
        <f>SUM(H12:H14)</f>
        <v>110.227</v>
      </c>
      <c r="I15" s="25">
        <f t="shared" ref="I15:J15" si="2">SUM(I12:I14)</f>
        <v>108.42700000000001</v>
      </c>
      <c r="J15" s="25">
        <f t="shared" si="2"/>
        <v>130.93699999999998</v>
      </c>
      <c r="K15" s="6"/>
      <c r="L15" s="6"/>
      <c r="M15" s="6"/>
      <c r="N15" s="6"/>
      <c r="O15" s="6"/>
      <c r="P15" s="6"/>
      <c r="Q15" s="2"/>
    </row>
    <row r="16" spans="1:17">
      <c r="A16" s="5" t="s">
        <v>0</v>
      </c>
      <c r="B16" s="9" t="s">
        <v>40</v>
      </c>
      <c r="C16" s="12">
        <f t="shared" ref="C16:P16" si="3">SUM(C9:C14)</f>
        <v>208.88800000000001</v>
      </c>
      <c r="D16" s="12">
        <f t="shared" si="3"/>
        <v>261.10599999999999</v>
      </c>
      <c r="E16" s="12">
        <f t="shared" si="3"/>
        <v>338.93700000000001</v>
      </c>
      <c r="F16" s="12">
        <f t="shared" si="3"/>
        <v>420.49400000000003</v>
      </c>
      <c r="G16" s="12">
        <f t="shared" si="3"/>
        <v>502.363</v>
      </c>
      <c r="H16" s="12">
        <f>SUM(H11,H15)</f>
        <v>208.93800000000002</v>
      </c>
      <c r="I16" s="12">
        <f>SUM(I11,I15)</f>
        <v>340.43700000000001</v>
      </c>
      <c r="J16" s="12">
        <f>SUM(J11,J15)</f>
        <v>408.54399999999998</v>
      </c>
      <c r="K16" s="13">
        <f t="shared" si="3"/>
        <v>4570.1079999107405</v>
      </c>
      <c r="L16" s="13">
        <f t="shared" si="3"/>
        <v>5380.0520512446292</v>
      </c>
      <c r="M16" s="13">
        <f t="shared" si="3"/>
        <v>6274.7168847406519</v>
      </c>
      <c r="N16" s="13">
        <f t="shared" si="3"/>
        <v>7394.9292596671021</v>
      </c>
      <c r="O16" s="13">
        <f t="shared" si="3"/>
        <v>8818.391159162471</v>
      </c>
      <c r="P16" s="13" t="e">
        <f t="shared" si="3"/>
        <v>#REF!</v>
      </c>
      <c r="Q16" s="2"/>
    </row>
    <row r="17" spans="1:17">
      <c r="A17" s="5"/>
      <c r="B17" s="24" t="s">
        <v>41</v>
      </c>
      <c r="C17" s="25">
        <v>25.722000000000001</v>
      </c>
      <c r="D17" s="25">
        <v>30.228999999999999</v>
      </c>
      <c r="E17" s="25">
        <v>35.61</v>
      </c>
      <c r="F17" s="25">
        <v>44.932999999999993</v>
      </c>
      <c r="G17" s="25">
        <v>50.066000000000003</v>
      </c>
      <c r="H17" s="25">
        <v>49.89</v>
      </c>
      <c r="I17" s="25">
        <v>139.47499999999999</v>
      </c>
      <c r="J17" s="26">
        <v>176.07400000000001</v>
      </c>
      <c r="K17" s="6">
        <f>'Costs &amp; Expenses Build'!F28</f>
        <v>0</v>
      </c>
      <c r="L17" s="6">
        <f>'Costs &amp; Expenses Build'!G28</f>
        <v>0</v>
      </c>
      <c r="M17" s="6">
        <f>'Costs &amp; Expenses Build'!H28</f>
        <v>0</v>
      </c>
      <c r="N17" s="6">
        <f>'Costs &amp; Expenses Build'!I28</f>
        <v>0</v>
      </c>
      <c r="O17" s="6">
        <f>'Costs &amp; Expenses Build'!J28</f>
        <v>0</v>
      </c>
      <c r="P17" s="6" t="e">
        <f>'Costs &amp; Expenses Build'!#REF!</f>
        <v>#REF!</v>
      </c>
      <c r="Q17" s="2"/>
    </row>
    <row r="18" spans="1:17">
      <c r="A18" s="5"/>
      <c r="B18" s="24" t="s">
        <v>42</v>
      </c>
      <c r="C18" s="25">
        <v>25.722000000000001</v>
      </c>
      <c r="D18" s="25">
        <v>30.228999999999999</v>
      </c>
      <c r="E18" s="25">
        <v>35.61</v>
      </c>
      <c r="F18" s="25">
        <v>44.932999999999993</v>
      </c>
      <c r="G18" s="25">
        <v>50.066000000000003</v>
      </c>
      <c r="H18" s="25">
        <v>24.244</v>
      </c>
      <c r="I18" s="25">
        <v>9.8040000000000003</v>
      </c>
      <c r="J18" s="26">
        <v>6.9290000000000003</v>
      </c>
      <c r="K18" s="6" t="e">
        <f>'Costs &amp; Expenses Build'!#REF!</f>
        <v>#REF!</v>
      </c>
      <c r="L18" s="6" t="e">
        <f>'Costs &amp; Expenses Build'!#REF!</f>
        <v>#REF!</v>
      </c>
      <c r="M18" s="6" t="e">
        <f>'Costs &amp; Expenses Build'!#REF!</f>
        <v>#REF!</v>
      </c>
      <c r="N18" s="6" t="e">
        <f>'Costs &amp; Expenses Build'!#REF!</f>
        <v>#REF!</v>
      </c>
      <c r="O18" s="6" t="e">
        <f>'Costs &amp; Expenses Build'!#REF!</f>
        <v>#REF!</v>
      </c>
      <c r="P18" s="6" t="e">
        <f>'Costs &amp; Expenses Build'!#REF!</f>
        <v>#REF!</v>
      </c>
      <c r="Q18" s="2"/>
    </row>
    <row r="19" spans="1:17">
      <c r="A19" s="5"/>
      <c r="B19" s="24" t="s">
        <v>43</v>
      </c>
      <c r="C19" s="25">
        <v>51.652000000000001</v>
      </c>
      <c r="D19" s="25">
        <v>69.150999999999996</v>
      </c>
      <c r="E19" s="25">
        <v>80.578000000000003</v>
      </c>
      <c r="F19" s="25">
        <v>100.782</v>
      </c>
      <c r="G19" s="25">
        <v>133.53299999999999</v>
      </c>
      <c r="H19" s="25">
        <v>82.015000000000001</v>
      </c>
      <c r="I19" s="25">
        <v>71.766000000000005</v>
      </c>
      <c r="J19" s="26">
        <v>74.147000000000006</v>
      </c>
      <c r="K19" s="6">
        <f>'Costs &amp; Expenses Build'!F23</f>
        <v>2604.9615599491217</v>
      </c>
      <c r="L19" s="6">
        <f>'Costs &amp; Expenses Build'!G23</f>
        <v>3120.4301897218847</v>
      </c>
      <c r="M19" s="6">
        <f>'Costs &amp; Expenses Build'!H23</f>
        <v>3702.0829619969845</v>
      </c>
      <c r="N19" s="6">
        <f>'Costs &amp; Expenses Build'!I23</f>
        <v>4436.9575558002607</v>
      </c>
      <c r="O19" s="6">
        <f>'Costs &amp; Expenses Build'!J23</f>
        <v>5379.2186070891075</v>
      </c>
      <c r="P19" s="6" t="e">
        <f>'Costs &amp; Expenses Build'!#REF!</f>
        <v>#REF!</v>
      </c>
      <c r="Q19" s="2"/>
    </row>
    <row r="20" spans="1:17" ht="15.75" customHeight="1">
      <c r="A20" s="5" t="s">
        <v>0</v>
      </c>
      <c r="B20" s="9" t="s">
        <v>44</v>
      </c>
      <c r="C20" s="12">
        <f t="shared" ref="C20:P20" si="4">SUM(C18:C19)</f>
        <v>77.373999999999995</v>
      </c>
      <c r="D20" s="12">
        <f t="shared" si="4"/>
        <v>99.38</v>
      </c>
      <c r="E20" s="12">
        <f t="shared" si="4"/>
        <v>116.188</v>
      </c>
      <c r="F20" s="12">
        <f t="shared" si="4"/>
        <v>145.71499999999997</v>
      </c>
      <c r="G20" s="12">
        <f t="shared" si="4"/>
        <v>183.59899999999999</v>
      </c>
      <c r="H20" s="12">
        <f>SUM(H17:H19)</f>
        <v>156.149</v>
      </c>
      <c r="I20" s="12">
        <f t="shared" ref="I20:J20" si="5">SUM(I17:I19)</f>
        <v>221.04500000000002</v>
      </c>
      <c r="J20" s="12">
        <f t="shared" si="5"/>
        <v>257.15000000000003</v>
      </c>
      <c r="K20" s="13" t="e">
        <f t="shared" si="4"/>
        <v>#REF!</v>
      </c>
      <c r="L20" s="13" t="e">
        <f t="shared" si="4"/>
        <v>#REF!</v>
      </c>
      <c r="M20" s="13" t="e">
        <f t="shared" si="4"/>
        <v>#REF!</v>
      </c>
      <c r="N20" s="13" t="e">
        <f t="shared" si="4"/>
        <v>#REF!</v>
      </c>
      <c r="O20" s="13" t="e">
        <f t="shared" si="4"/>
        <v>#REF!</v>
      </c>
      <c r="P20" s="13" t="e">
        <f t="shared" si="4"/>
        <v>#REF!</v>
      </c>
      <c r="Q20" s="2"/>
    </row>
    <row r="21" spans="1:17" ht="15.75" customHeight="1">
      <c r="A21" s="5"/>
      <c r="B21" s="24" t="s">
        <v>45</v>
      </c>
      <c r="C21" s="25">
        <v>32.24</v>
      </c>
      <c r="D21" s="25">
        <v>38.979999999999997</v>
      </c>
      <c r="E21" s="25">
        <v>43.49</v>
      </c>
      <c r="F21" s="25">
        <v>55.902000000000001</v>
      </c>
      <c r="G21" s="25">
        <v>61.814999999999998</v>
      </c>
      <c r="H21" s="25">
        <v>55.634999999999998</v>
      </c>
      <c r="I21" s="25">
        <v>77.498000000000005</v>
      </c>
      <c r="J21" s="26">
        <v>96.347999999999999</v>
      </c>
      <c r="K21" s="6">
        <f>'Costs &amp; Expenses Build'!F31</f>
        <v>144.14805568396895</v>
      </c>
      <c r="L21" s="6">
        <f>'Costs &amp; Expenses Build'!G31</f>
        <v>165.02862922274136</v>
      </c>
      <c r="M21" s="6">
        <f>'Costs &amp; Expenses Build'!H31</f>
        <v>189.75449290016323</v>
      </c>
      <c r="N21" s="6">
        <f>'Costs &amp; Expenses Build'!I31</f>
        <v>227.90381362231889</v>
      </c>
      <c r="O21" s="6">
        <f>'Costs &amp; Expenses Build'!J31</f>
        <v>269.64942547202344</v>
      </c>
      <c r="P21" s="6" t="e">
        <f>'Costs &amp; Expenses Build'!#REF!</f>
        <v>#REF!</v>
      </c>
      <c r="Q21" s="2"/>
    </row>
    <row r="22" spans="1:17" ht="15.75" customHeight="1">
      <c r="A22" s="5"/>
      <c r="B22" s="24" t="s">
        <v>46</v>
      </c>
      <c r="C22" s="25">
        <v>40.002000000000002</v>
      </c>
      <c r="D22" s="25">
        <v>44.271999999999998</v>
      </c>
      <c r="E22" s="25">
        <v>72.754999999999995</v>
      </c>
      <c r="F22" s="25">
        <v>89.203999999999994</v>
      </c>
      <c r="G22" s="25">
        <v>114.443</v>
      </c>
      <c r="H22" s="25">
        <v>-12.693</v>
      </c>
      <c r="I22" s="25">
        <v>-14.768000000000001</v>
      </c>
      <c r="J22" s="26"/>
      <c r="K22" s="6">
        <f>'Costs &amp; Expenses Build'!F37</f>
        <v>23.845929706384631</v>
      </c>
      <c r="L22" s="6">
        <f>'Costs &amp; Expenses Build'!G37</f>
        <v>60.352371662121016</v>
      </c>
      <c r="M22" s="6">
        <f>'Costs &amp; Expenses Build'!H37</f>
        <v>108.03684809115511</v>
      </c>
      <c r="N22" s="6">
        <f>'Costs &amp; Expenses Build'!I37</f>
        <v>171.69402122572362</v>
      </c>
      <c r="O22" s="6">
        <f>'Costs &amp; Expenses Build'!J37</f>
        <v>257.65402815769852</v>
      </c>
      <c r="P22" s="6" t="e">
        <f>'Costs &amp; Expenses Build'!#REF!</f>
        <v>#REF!</v>
      </c>
      <c r="Q22" s="2"/>
    </row>
    <row r="23" spans="1:17" ht="15.75" customHeight="1">
      <c r="A23" s="5"/>
      <c r="B23" s="24" t="s">
        <v>47</v>
      </c>
      <c r="C23" s="25">
        <v>5.8079999999999998</v>
      </c>
      <c r="D23" s="25">
        <v>6.49</v>
      </c>
      <c r="E23" s="25">
        <v>17.734000000000002</v>
      </c>
      <c r="F23" s="25">
        <v>21.721000000000004</v>
      </c>
      <c r="G23" s="25">
        <v>22.134</v>
      </c>
      <c r="H23" s="25">
        <v>-1.4359999999999999</v>
      </c>
      <c r="I23" s="25"/>
      <c r="J23" s="26"/>
      <c r="K23" s="6">
        <f>'Costs &amp; Expenses Build'!F43</f>
        <v>783.17054762093221</v>
      </c>
      <c r="L23" s="6">
        <f>'Costs &amp; Expenses Build'!G43</f>
        <v>934.7202536724501</v>
      </c>
      <c r="M23" s="6">
        <f>'Costs &amp; Expenses Build'!H43</f>
        <v>1084.7580857728528</v>
      </c>
      <c r="N23" s="6">
        <f>'Costs &amp; Expenses Build'!I43</f>
        <v>1276.8178992045287</v>
      </c>
      <c r="O23" s="6">
        <f>'Costs &amp; Expenses Build'!J43</f>
        <v>1526.3959915731587</v>
      </c>
      <c r="P23" s="6" t="e">
        <f>'Costs &amp; Expenses Build'!#REF!</f>
        <v>#REF!</v>
      </c>
      <c r="Q23" s="2"/>
    </row>
    <row r="24" spans="1:17" ht="15.75" customHeight="1">
      <c r="A24" s="5"/>
      <c r="B24" s="24" t="s">
        <v>48</v>
      </c>
      <c r="C24" s="25"/>
      <c r="D24" s="25"/>
      <c r="E24" s="25"/>
      <c r="F24" s="25"/>
      <c r="G24" s="25"/>
      <c r="H24" s="25"/>
      <c r="I24" s="25"/>
      <c r="J24" s="26"/>
      <c r="K24" s="6"/>
      <c r="L24" s="6"/>
      <c r="M24" s="6"/>
      <c r="N24" s="6"/>
      <c r="O24" s="6"/>
      <c r="P24" s="6"/>
      <c r="Q24" s="2"/>
    </row>
    <row r="25" spans="1:17" ht="15.75" customHeight="1">
      <c r="A25" s="5" t="s">
        <v>0</v>
      </c>
      <c r="B25" s="9" t="s">
        <v>49</v>
      </c>
      <c r="C25" s="14">
        <f t="shared" ref="C25:P25" si="6">SUM(C21:C24)</f>
        <v>78.050000000000011</v>
      </c>
      <c r="D25" s="14">
        <f t="shared" si="6"/>
        <v>89.74199999999999</v>
      </c>
      <c r="E25" s="14">
        <f t="shared" si="6"/>
        <v>133.97900000000001</v>
      </c>
      <c r="F25" s="14">
        <f t="shared" si="6"/>
        <v>166.827</v>
      </c>
      <c r="G25" s="14">
        <f t="shared" si="6"/>
        <v>198.392</v>
      </c>
      <c r="H25" s="14">
        <f t="shared" si="6"/>
        <v>41.506</v>
      </c>
      <c r="I25" s="14">
        <f t="shared" si="6"/>
        <v>62.730000000000004</v>
      </c>
      <c r="J25" s="15">
        <f t="shared" si="6"/>
        <v>96.347999999999999</v>
      </c>
      <c r="K25" s="14">
        <f t="shared" si="6"/>
        <v>951.16453301128581</v>
      </c>
      <c r="L25" s="14">
        <f t="shared" si="6"/>
        <v>1160.1012545573126</v>
      </c>
      <c r="M25" s="14">
        <f t="shared" si="6"/>
        <v>1382.5494267641711</v>
      </c>
      <c r="N25" s="14">
        <f t="shared" si="6"/>
        <v>1676.4157340525712</v>
      </c>
      <c r="O25" s="14">
        <f t="shared" si="6"/>
        <v>2053.6994452028807</v>
      </c>
      <c r="P25" s="14" t="e">
        <f t="shared" si="6"/>
        <v>#REF!</v>
      </c>
      <c r="Q25" s="2"/>
    </row>
    <row r="26" spans="1:17" ht="15.75" customHeight="1">
      <c r="A26" s="5" t="s">
        <v>0</v>
      </c>
      <c r="B26" s="27" t="s">
        <v>50</v>
      </c>
      <c r="C26" s="32">
        <f t="shared" ref="C26:P26" si="7">C16-C20-C25</f>
        <v>53.463999999999999</v>
      </c>
      <c r="D26" s="32">
        <f t="shared" si="7"/>
        <v>71.984000000000009</v>
      </c>
      <c r="E26" s="32">
        <f t="shared" si="7"/>
        <v>88.77000000000001</v>
      </c>
      <c r="F26" s="32">
        <f t="shared" si="7"/>
        <v>107.95200000000006</v>
      </c>
      <c r="G26" s="32">
        <f t="shared" si="7"/>
        <v>120.37200000000001</v>
      </c>
      <c r="H26" s="32">
        <f t="shared" si="7"/>
        <v>11.283000000000015</v>
      </c>
      <c r="I26" s="32">
        <f t="shared" si="7"/>
        <v>56.661999999999992</v>
      </c>
      <c r="J26" s="33">
        <f t="shared" si="7"/>
        <v>55.04599999999995</v>
      </c>
      <c r="K26" s="34" t="e">
        <f t="shared" si="7"/>
        <v>#REF!</v>
      </c>
      <c r="L26" s="34" t="e">
        <f t="shared" si="7"/>
        <v>#REF!</v>
      </c>
      <c r="M26" s="34" t="e">
        <f t="shared" si="7"/>
        <v>#REF!</v>
      </c>
      <c r="N26" s="34" t="e">
        <f t="shared" si="7"/>
        <v>#REF!</v>
      </c>
      <c r="O26" s="34" t="e">
        <f t="shared" si="7"/>
        <v>#REF!</v>
      </c>
      <c r="P26" s="34" t="e">
        <f t="shared" si="7"/>
        <v>#REF!</v>
      </c>
      <c r="Q26" s="2"/>
    </row>
    <row r="27" spans="1:17" ht="15.75" customHeight="1">
      <c r="A27" s="5"/>
      <c r="B27" s="24" t="s">
        <v>113</v>
      </c>
      <c r="C27" s="25">
        <v>0</v>
      </c>
      <c r="D27" s="25">
        <v>0</v>
      </c>
      <c r="E27" s="25">
        <v>0</v>
      </c>
      <c r="F27" s="25">
        <v>0</v>
      </c>
      <c r="G27" s="25">
        <v>4.9219999999999997</v>
      </c>
      <c r="H27" s="25">
        <v>-1.645</v>
      </c>
      <c r="I27" s="25">
        <v>-0.98</v>
      </c>
      <c r="J27" s="26">
        <v>1.093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2"/>
    </row>
    <row r="28" spans="1:17" ht="15.75" customHeight="1">
      <c r="A28" s="5"/>
      <c r="B28" s="24" t="s">
        <v>114</v>
      </c>
      <c r="C28" s="25">
        <v>0</v>
      </c>
      <c r="D28" s="25">
        <v>0</v>
      </c>
      <c r="E28" s="25">
        <v>0</v>
      </c>
      <c r="F28" s="25">
        <v>0</v>
      </c>
      <c r="G28" s="25">
        <v>4.9219999999999997</v>
      </c>
      <c r="H28" s="25">
        <v>0.49399999999999999</v>
      </c>
      <c r="I28" s="25">
        <v>0.45800000000000002</v>
      </c>
      <c r="J28" s="26">
        <v>2.2679999999999998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2"/>
    </row>
    <row r="29" spans="1:17" ht="15.75" customHeight="1">
      <c r="A29" s="5"/>
      <c r="B29" s="24" t="s">
        <v>115</v>
      </c>
      <c r="C29" s="25">
        <v>0</v>
      </c>
      <c r="D29" s="25">
        <v>0</v>
      </c>
      <c r="E29" s="25">
        <v>0</v>
      </c>
      <c r="F29" s="25">
        <v>0</v>
      </c>
      <c r="G29" s="25">
        <v>4.9219999999999997</v>
      </c>
      <c r="H29" s="25"/>
      <c r="I29" s="25">
        <v>-5.4210000000000003</v>
      </c>
      <c r="J29" s="26"/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2"/>
    </row>
    <row r="30" spans="1:17" ht="15.75" customHeight="1">
      <c r="A30" s="5"/>
      <c r="B30" s="24" t="s">
        <v>116</v>
      </c>
      <c r="C30" s="25">
        <v>0</v>
      </c>
      <c r="D30" s="25">
        <v>0</v>
      </c>
      <c r="E30" s="25">
        <v>0</v>
      </c>
      <c r="F30" s="25">
        <v>0</v>
      </c>
      <c r="G30" s="25">
        <v>4.9219999999999997</v>
      </c>
      <c r="H30" s="25">
        <v>-0.38800000000000001</v>
      </c>
      <c r="I30" s="25">
        <v>-2.9449999999999998</v>
      </c>
      <c r="J30" s="26">
        <v>-0.52500000000000002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2"/>
    </row>
    <row r="31" spans="1:17" ht="15.75" customHeight="1">
      <c r="A31" s="5"/>
      <c r="B31" s="9" t="s">
        <v>117</v>
      </c>
      <c r="C31" s="14">
        <f>C26+SUM(C30:C30)</f>
        <v>53.463999999999999</v>
      </c>
      <c r="D31" s="14">
        <f>D26+SUM(D30:D30)</f>
        <v>71.984000000000009</v>
      </c>
      <c r="E31" s="14">
        <f>E26+SUM(E30:E30)</f>
        <v>88.77000000000001</v>
      </c>
      <c r="F31" s="14">
        <f>F26+SUM(F30:F30)</f>
        <v>107.95200000000006</v>
      </c>
      <c r="G31" s="14">
        <f>G26+SUM(G30:G30)</f>
        <v>125.29400000000001</v>
      </c>
      <c r="H31" s="14">
        <f>H26+SUM(H27:H30)</f>
        <v>9.7440000000000158</v>
      </c>
      <c r="I31" s="14">
        <f t="shared" ref="I31:J31" si="8">I26+SUM(I27:I30)</f>
        <v>47.773999999999994</v>
      </c>
      <c r="J31" s="14">
        <f t="shared" si="8"/>
        <v>57.881999999999948</v>
      </c>
      <c r="K31" s="41" t="e">
        <f t="shared" ref="K31:P31" si="9">K26+SUM(K30:K30)</f>
        <v>#REF!</v>
      </c>
      <c r="L31" s="41" t="e">
        <f t="shared" si="9"/>
        <v>#REF!</v>
      </c>
      <c r="M31" s="41" t="e">
        <f t="shared" si="9"/>
        <v>#REF!</v>
      </c>
      <c r="N31" s="41" t="e">
        <f t="shared" si="9"/>
        <v>#REF!</v>
      </c>
      <c r="O31" s="41" t="e">
        <f t="shared" si="9"/>
        <v>#REF!</v>
      </c>
      <c r="P31" s="41" t="e">
        <f t="shared" si="9"/>
        <v>#REF!</v>
      </c>
      <c r="Q31" s="2"/>
    </row>
    <row r="32" spans="1:17" ht="15.75" customHeight="1">
      <c r="A32" s="5"/>
      <c r="B32" s="24" t="s">
        <v>118</v>
      </c>
      <c r="C32" s="25">
        <v>5.6970000000000001</v>
      </c>
      <c r="D32" s="25">
        <v>4.2270000000000003</v>
      </c>
      <c r="E32" s="25">
        <v>2.99</v>
      </c>
      <c r="F32" s="25">
        <v>-9.8250000000000011</v>
      </c>
      <c r="G32" s="25">
        <v>5.5659999999999998</v>
      </c>
      <c r="H32" s="25">
        <v>1.65</v>
      </c>
      <c r="I32" s="25">
        <v>11.659000000000001</v>
      </c>
      <c r="J32" s="26">
        <v>14.021000000000001</v>
      </c>
      <c r="K32" s="6" t="e">
        <f>K31*0.21</f>
        <v>#REF!</v>
      </c>
      <c r="L32" s="6" t="e">
        <f t="shared" ref="L32:N32" si="10">L31*0.21</f>
        <v>#REF!</v>
      </c>
      <c r="M32" s="6" t="e">
        <f t="shared" si="10"/>
        <v>#REF!</v>
      </c>
      <c r="N32" s="6" t="e">
        <f t="shared" si="10"/>
        <v>#REF!</v>
      </c>
      <c r="O32" s="6" t="e">
        <f t="shared" ref="O32" si="11">O31*0.21</f>
        <v>#REF!</v>
      </c>
      <c r="P32" s="6" t="e">
        <f t="shared" ref="P32" si="12">P31*0.21</f>
        <v>#REF!</v>
      </c>
      <c r="Q32" s="2"/>
    </row>
    <row r="33" spans="1:17" ht="15.75" customHeight="1">
      <c r="A33" s="5" t="s">
        <v>0</v>
      </c>
      <c r="B33" s="42" t="s">
        <v>85</v>
      </c>
      <c r="C33" s="43">
        <f t="shared" ref="C33:P33" si="13">C31-C32</f>
        <v>47.766999999999996</v>
      </c>
      <c r="D33" s="43">
        <f t="shared" si="13"/>
        <v>67.757000000000005</v>
      </c>
      <c r="E33" s="43">
        <f t="shared" si="13"/>
        <v>85.780000000000015</v>
      </c>
      <c r="F33" s="43">
        <f t="shared" si="13"/>
        <v>117.77700000000006</v>
      </c>
      <c r="G33" s="43">
        <f t="shared" si="13"/>
        <v>119.72800000000001</v>
      </c>
      <c r="H33" s="43">
        <f>H31-H32</f>
        <v>8.0940000000000154</v>
      </c>
      <c r="I33" s="43">
        <f t="shared" si="13"/>
        <v>36.114999999999995</v>
      </c>
      <c r="J33" s="44">
        <f t="shared" si="13"/>
        <v>43.860999999999947</v>
      </c>
      <c r="K33" s="45" t="e">
        <f t="shared" si="13"/>
        <v>#REF!</v>
      </c>
      <c r="L33" s="45" t="e">
        <f t="shared" si="13"/>
        <v>#REF!</v>
      </c>
      <c r="M33" s="45" t="e">
        <f t="shared" si="13"/>
        <v>#REF!</v>
      </c>
      <c r="N33" s="45" t="e">
        <f t="shared" si="13"/>
        <v>#REF!</v>
      </c>
      <c r="O33" s="45" t="e">
        <f t="shared" si="13"/>
        <v>#REF!</v>
      </c>
      <c r="P33" s="45" t="e">
        <f t="shared" si="13"/>
        <v>#REF!</v>
      </c>
      <c r="Q33" s="2"/>
    </row>
    <row r="34" spans="1:17" ht="15.75" customHeight="1">
      <c r="A34" s="5"/>
      <c r="B34" s="24" t="s">
        <v>119</v>
      </c>
      <c r="C34" s="25"/>
      <c r="D34" s="25"/>
      <c r="E34" s="25"/>
      <c r="F34" s="25"/>
      <c r="G34" s="25"/>
      <c r="H34" s="25"/>
      <c r="I34" s="25"/>
      <c r="J34" s="26"/>
      <c r="K34" s="2"/>
      <c r="L34" s="2"/>
      <c r="M34" s="2"/>
      <c r="N34" s="2"/>
      <c r="O34" s="2"/>
      <c r="P34" s="2"/>
      <c r="Q34" s="2"/>
    </row>
    <row r="35" spans="1:17" ht="15.75" customHeight="1">
      <c r="A35" s="5"/>
      <c r="B35" s="24" t="s">
        <v>120</v>
      </c>
      <c r="C35" s="25"/>
      <c r="D35" s="25"/>
      <c r="E35" s="25"/>
      <c r="F35" s="25"/>
      <c r="G35" s="25">
        <v>0.20100000000000001</v>
      </c>
      <c r="H35" s="25"/>
      <c r="I35" s="25"/>
      <c r="J35" s="26"/>
      <c r="K35" s="2"/>
      <c r="L35" s="2"/>
      <c r="M35" s="2"/>
      <c r="N35" s="2"/>
      <c r="O35" s="2"/>
      <c r="P35" s="2"/>
      <c r="Q35" s="2"/>
    </row>
    <row r="36" spans="1:17" ht="15.75" customHeight="1">
      <c r="A36" s="5"/>
      <c r="B36" s="24" t="s">
        <v>121</v>
      </c>
      <c r="C36" s="25"/>
      <c r="D36" s="25"/>
      <c r="E36" s="25"/>
      <c r="F36" s="25"/>
      <c r="G36" s="25"/>
      <c r="H36" s="25"/>
      <c r="I36" s="25"/>
      <c r="J36" s="26"/>
      <c r="K36" s="2"/>
      <c r="L36" s="2"/>
      <c r="M36" s="2"/>
      <c r="N36" s="2"/>
      <c r="O36" s="2"/>
      <c r="P36" s="2"/>
      <c r="Q36" s="2"/>
    </row>
    <row r="37" spans="1:17" ht="15.75" customHeight="1">
      <c r="A37" s="5"/>
      <c r="B37" s="24" t="s">
        <v>122</v>
      </c>
      <c r="C37" s="25">
        <v>-18.986999999999998</v>
      </c>
      <c r="D37" s="25"/>
      <c r="E37" s="25"/>
      <c r="F37" s="25"/>
      <c r="G37" s="25"/>
      <c r="H37" s="25"/>
      <c r="I37" s="25"/>
      <c r="J37" s="26"/>
      <c r="K37" s="2"/>
      <c r="L37" s="2"/>
      <c r="M37" s="2"/>
      <c r="N37" s="2"/>
      <c r="O37" s="2"/>
      <c r="P37" s="2"/>
      <c r="Q37" s="2"/>
    </row>
    <row r="38" spans="1:17" ht="15.75" customHeight="1">
      <c r="A38" s="5"/>
      <c r="B38" s="24" t="s">
        <v>123</v>
      </c>
      <c r="C38" s="25">
        <v>0</v>
      </c>
      <c r="D38" s="25">
        <v>-1.2E-2</v>
      </c>
      <c r="E38" s="25">
        <v>-1.2999999999999999E-2</v>
      </c>
      <c r="F38" s="25">
        <v>-3.0000000000000001E-3</v>
      </c>
      <c r="G38" s="25"/>
      <c r="H38" s="25"/>
      <c r="I38" s="25"/>
      <c r="J38" s="26"/>
      <c r="K38" s="2"/>
      <c r="L38" s="2"/>
      <c r="M38" s="2"/>
      <c r="N38" s="2"/>
      <c r="O38" s="2"/>
      <c r="P38" s="2"/>
      <c r="Q38" s="2"/>
    </row>
    <row r="39" spans="1:17" ht="15.75" customHeight="1">
      <c r="A39" s="5" t="s">
        <v>0</v>
      </c>
      <c r="B39" s="42" t="s">
        <v>124</v>
      </c>
      <c r="C39" s="46">
        <f t="shared" ref="C39:I39" si="14">C33+SUM(C34:C38)</f>
        <v>28.779999999999998</v>
      </c>
      <c r="D39" s="46">
        <f t="shared" si="14"/>
        <v>67.745000000000005</v>
      </c>
      <c r="E39" s="46">
        <f t="shared" si="14"/>
        <v>85.76700000000001</v>
      </c>
      <c r="F39" s="46">
        <f t="shared" si="14"/>
        <v>117.77400000000006</v>
      </c>
      <c r="G39" s="46">
        <f t="shared" si="14"/>
        <v>119.929</v>
      </c>
      <c r="H39" s="46">
        <f t="shared" si="14"/>
        <v>8.0940000000000154</v>
      </c>
      <c r="I39" s="46">
        <f t="shared" si="14"/>
        <v>36.114999999999995</v>
      </c>
      <c r="J39" s="47">
        <f>J33+SUM(J34:J38)</f>
        <v>43.860999999999947</v>
      </c>
      <c r="K39" s="16" t="e">
        <f t="shared" ref="K39:P39" si="15">K33-SUM(K34:K38)</f>
        <v>#REF!</v>
      </c>
      <c r="L39" s="16" t="e">
        <f t="shared" si="15"/>
        <v>#REF!</v>
      </c>
      <c r="M39" s="16" t="e">
        <f t="shared" si="15"/>
        <v>#REF!</v>
      </c>
      <c r="N39" s="16" t="e">
        <f t="shared" si="15"/>
        <v>#REF!</v>
      </c>
      <c r="O39" s="16" t="e">
        <f t="shared" si="15"/>
        <v>#REF!</v>
      </c>
      <c r="P39" s="16" t="e">
        <f t="shared" si="15"/>
        <v>#REF!</v>
      </c>
      <c r="Q39" s="2"/>
    </row>
    <row r="40" spans="1:17" ht="15.75" customHeight="1">
      <c r="A40" s="2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2"/>
    </row>
    <row r="41" spans="1:17" ht="15.75" customHeight="1">
      <c r="A41" s="55"/>
      <c r="B41" s="56"/>
      <c r="C41" s="57"/>
      <c r="D41" s="57"/>
      <c r="E41" s="57"/>
      <c r="F41" s="57"/>
      <c r="G41" s="58"/>
      <c r="H41" s="57"/>
      <c r="I41" s="57"/>
      <c r="J41" s="57"/>
      <c r="K41" s="57"/>
      <c r="L41" s="58"/>
      <c r="M41" s="57"/>
      <c r="N41" s="57"/>
      <c r="O41" s="57"/>
      <c r="P41" s="57"/>
      <c r="Q41" s="55"/>
    </row>
    <row r="42" spans="1:17" ht="15.75" customHeight="1">
      <c r="A42" s="55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5"/>
    </row>
    <row r="43" spans="1:17" ht="15.75" customHeight="1">
      <c r="A43" s="55"/>
      <c r="B43" s="60"/>
      <c r="C43" s="61"/>
      <c r="D43" s="61"/>
      <c r="E43" s="61"/>
      <c r="F43" s="61"/>
      <c r="G43" s="61"/>
      <c r="H43" s="61"/>
      <c r="I43" s="61"/>
      <c r="J43" s="61"/>
      <c r="K43" s="62"/>
      <c r="L43" s="62"/>
      <c r="M43" s="62"/>
      <c r="N43" s="62"/>
      <c r="O43" s="62"/>
      <c r="P43" s="62"/>
      <c r="Q43" s="55"/>
    </row>
    <row r="44" spans="1:17" ht="15.75" customHeight="1">
      <c r="A44" s="55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5"/>
    </row>
    <row r="45" spans="1:17" ht="15.75" customHeight="1">
      <c r="A45" s="55"/>
      <c r="B45" s="63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5"/>
    </row>
    <row r="46" spans="1:17" ht="15.75" customHeight="1">
      <c r="A46" s="55"/>
      <c r="B46" s="59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55"/>
    </row>
    <row r="47" spans="1:17" ht="15.75" customHeight="1">
      <c r="A47" s="55"/>
      <c r="B47" s="59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55"/>
    </row>
    <row r="48" spans="1:17" ht="15.75" customHeight="1">
      <c r="A48" s="55"/>
      <c r="B48" s="59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55"/>
    </row>
    <row r="49" spans="1:17" ht="15.75" customHeight="1">
      <c r="A49" s="55"/>
      <c r="B49" s="59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55"/>
    </row>
    <row r="50" spans="1:17" ht="15.75" customHeight="1">
      <c r="A50" s="55"/>
      <c r="B50" s="59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55"/>
    </row>
    <row r="51" spans="1:17" ht="15.75" customHeight="1">
      <c r="A51" s="55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5"/>
    </row>
    <row r="52" spans="1:17" ht="15.75" customHeight="1">
      <c r="A52" s="55"/>
      <c r="B52" s="63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5"/>
    </row>
    <row r="53" spans="1:17" ht="15.75" customHeight="1">
      <c r="A53" s="55"/>
      <c r="B53" s="59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55"/>
    </row>
    <row r="54" spans="1:17" ht="15.75" customHeight="1">
      <c r="A54" s="55"/>
      <c r="B54" s="59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55"/>
    </row>
    <row r="55" spans="1:17" ht="15.75" customHeight="1">
      <c r="A55" s="55"/>
      <c r="B55" s="59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55"/>
    </row>
    <row r="56" spans="1:17" ht="15.75" customHeight="1">
      <c r="A56" s="55"/>
      <c r="B56" s="59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55"/>
    </row>
    <row r="57" spans="1:17" ht="15.75" customHeight="1">
      <c r="A57" s="55"/>
      <c r="B57" s="59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55"/>
    </row>
    <row r="58" spans="1:17" ht="15.75" customHeight="1">
      <c r="A58" s="55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5"/>
    </row>
    <row r="59" spans="1:17" ht="15.75" customHeight="1">
      <c r="A59" s="48"/>
      <c r="B59" s="59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55"/>
    </row>
    <row r="60" spans="1:17" ht="15.75" customHeight="1">
      <c r="A60" s="4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5"/>
    </row>
    <row r="61" spans="1:17" ht="15.75" customHeight="1">
      <c r="A61" s="48"/>
      <c r="B61" s="66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5"/>
    </row>
    <row r="62" spans="1:17" ht="15.75" customHeight="1">
      <c r="A62" s="48"/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55"/>
    </row>
    <row r="63" spans="1:17" ht="15.75" customHeight="1">
      <c r="A63" s="48"/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55"/>
    </row>
    <row r="64" spans="1:17" ht="15.75" customHeight="1">
      <c r="A64" s="48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5"/>
    </row>
    <row r="65" spans="1:17" ht="15.75" customHeight="1">
      <c r="A65" s="48"/>
      <c r="B65" s="63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5"/>
    </row>
    <row r="66" spans="1:17" ht="15.75" customHeight="1">
      <c r="A66" s="48"/>
      <c r="B66" s="67"/>
      <c r="C66" s="69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55"/>
    </row>
    <row r="67" spans="1:17" ht="15.75" customHeight="1">
      <c r="A67" s="55"/>
      <c r="B67" s="67"/>
      <c r="C67" s="69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55"/>
    </row>
    <row r="68" spans="1:17" ht="15.75" customHeight="1">
      <c r="A68" s="55"/>
      <c r="B68" s="67"/>
      <c r="C68" s="69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55"/>
    </row>
    <row r="69" spans="1:17" ht="15.75" customHeight="1">
      <c r="A69" s="2"/>
      <c r="B69" s="49"/>
      <c r="C69" s="50"/>
      <c r="D69" s="51"/>
      <c r="E69" s="51"/>
      <c r="F69" s="51"/>
      <c r="G69" s="51"/>
      <c r="H69" s="51"/>
      <c r="I69" s="51"/>
      <c r="J69" s="51"/>
      <c r="K69" s="55"/>
      <c r="L69" s="55"/>
      <c r="M69" s="55"/>
      <c r="N69" s="55"/>
      <c r="O69" s="55"/>
      <c r="P69" s="55"/>
      <c r="Q69" s="2"/>
    </row>
    <row r="70" spans="1:17" ht="15.75" customHeight="1">
      <c r="A70" s="2"/>
      <c r="B70" s="49"/>
      <c r="C70" s="50"/>
      <c r="D70" s="50"/>
      <c r="E70" s="50"/>
      <c r="F70" s="50"/>
      <c r="G70" s="50"/>
      <c r="H70" s="50"/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>
      <c r="A71" s="2"/>
      <c r="B71" s="49"/>
      <c r="C71" s="50"/>
      <c r="D71" s="50"/>
      <c r="E71" s="50"/>
      <c r="F71" s="50"/>
      <c r="G71" s="50"/>
      <c r="H71" s="50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>
      <c r="A72" s="2"/>
      <c r="B72" s="49"/>
      <c r="C72" s="50"/>
      <c r="D72" s="50"/>
      <c r="E72" s="50"/>
      <c r="F72" s="50"/>
      <c r="G72" s="50"/>
      <c r="H72" s="50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>
      <c r="A73" s="2"/>
      <c r="B73" s="49"/>
      <c r="C73" s="50"/>
      <c r="D73" s="50"/>
      <c r="E73" s="50"/>
      <c r="F73" s="50"/>
      <c r="G73" s="50"/>
      <c r="H73" s="50"/>
      <c r="I73" s="2"/>
      <c r="J73" s="2"/>
      <c r="K73" s="2"/>
      <c r="L73" s="2"/>
      <c r="M73" s="2"/>
      <c r="N73" s="2"/>
      <c r="O73" s="2"/>
      <c r="P73" s="2"/>
      <c r="Q73" s="2"/>
    </row>
    <row r="74" spans="1:17" ht="15.75" customHeight="1">
      <c r="A74" s="2"/>
      <c r="B74" s="49"/>
      <c r="C74" s="50"/>
      <c r="D74" s="50"/>
      <c r="E74" s="50"/>
      <c r="F74" s="50"/>
      <c r="G74" s="50"/>
      <c r="H74" s="50"/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>
      <c r="A75" s="2"/>
      <c r="B75" s="48"/>
      <c r="C75" s="48"/>
      <c r="D75" s="48"/>
      <c r="E75" s="48"/>
      <c r="F75" s="48"/>
      <c r="G75" s="48"/>
      <c r="H75" s="48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>
      <c r="A76" s="2"/>
      <c r="B76" s="48"/>
      <c r="C76" s="48"/>
      <c r="D76" s="48"/>
      <c r="E76" s="48"/>
      <c r="F76" s="48"/>
      <c r="G76" s="48"/>
      <c r="H76" s="48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</sheetData>
  <phoneticPr fontId="65" type="noConversion"/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999"/>
  <sheetViews>
    <sheetView showGridLines="0" workbookViewId="0">
      <selection activeCell="A2" sqref="A2"/>
    </sheetView>
  </sheetViews>
  <sheetFormatPr baseColWidth="10" defaultColWidth="14.5" defaultRowHeight="15" customHeight="1"/>
  <cols>
    <col min="1" max="1" width="10.83203125" customWidth="1"/>
    <col min="2" max="2" width="114.83203125" bestFit="1" customWidth="1"/>
    <col min="3" max="7" width="10.83203125" hidden="1" customWidth="1"/>
    <col min="8" max="37" width="10.83203125" customWidth="1"/>
  </cols>
  <sheetData>
    <row r="1" spans="1:37" ht="29">
      <c r="A1" s="2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>
      <c r="A4" s="5" t="s">
        <v>0</v>
      </c>
      <c r="B4" s="28" t="s">
        <v>125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"/>
      <c r="AF4" s="2"/>
      <c r="AG4" s="2"/>
      <c r="AH4" s="2"/>
      <c r="AI4" s="2"/>
      <c r="AJ4" s="2"/>
      <c r="AK4" s="2"/>
    </row>
    <row r="5" spans="1:37">
      <c r="A5" s="5"/>
      <c r="B5" s="1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>
      <c r="A6" s="5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>
      <c r="A7" s="5"/>
      <c r="B7" s="1" t="s">
        <v>4</v>
      </c>
      <c r="C7" s="30">
        <f>2015</f>
        <v>2015</v>
      </c>
      <c r="D7" s="30">
        <f t="shared" ref="D7:AD7" si="0">C7+1</f>
        <v>2016</v>
      </c>
      <c r="E7" s="30">
        <f t="shared" si="0"/>
        <v>2017</v>
      </c>
      <c r="F7" s="30">
        <f t="shared" si="0"/>
        <v>2018</v>
      </c>
      <c r="G7" s="30">
        <f t="shared" si="0"/>
        <v>2019</v>
      </c>
      <c r="H7" s="30">
        <f t="shared" si="0"/>
        <v>2020</v>
      </c>
      <c r="I7" s="30">
        <f t="shared" si="0"/>
        <v>2021</v>
      </c>
      <c r="J7" s="30">
        <f t="shared" si="0"/>
        <v>2022</v>
      </c>
      <c r="K7" s="31">
        <f t="shared" si="0"/>
        <v>2023</v>
      </c>
      <c r="L7" s="31">
        <f t="shared" si="0"/>
        <v>2024</v>
      </c>
      <c r="M7" s="31">
        <f t="shared" si="0"/>
        <v>2025</v>
      </c>
      <c r="N7" s="31">
        <f t="shared" si="0"/>
        <v>2026</v>
      </c>
      <c r="O7" s="31">
        <f t="shared" si="0"/>
        <v>2027</v>
      </c>
      <c r="P7" s="31">
        <f t="shared" si="0"/>
        <v>2028</v>
      </c>
      <c r="Q7" s="31">
        <f t="shared" si="0"/>
        <v>2029</v>
      </c>
      <c r="R7" s="31">
        <f t="shared" si="0"/>
        <v>2030</v>
      </c>
      <c r="S7" s="31">
        <f t="shared" si="0"/>
        <v>2031</v>
      </c>
      <c r="T7" s="31">
        <f t="shared" si="0"/>
        <v>2032</v>
      </c>
      <c r="U7" s="31">
        <f t="shared" si="0"/>
        <v>2033</v>
      </c>
      <c r="V7" s="31">
        <f t="shared" si="0"/>
        <v>2034</v>
      </c>
      <c r="W7" s="31">
        <f t="shared" si="0"/>
        <v>2035</v>
      </c>
      <c r="X7" s="31">
        <f t="shared" si="0"/>
        <v>2036</v>
      </c>
      <c r="Y7" s="31">
        <f t="shared" si="0"/>
        <v>2037</v>
      </c>
      <c r="Z7" s="31">
        <f t="shared" si="0"/>
        <v>2038</v>
      </c>
      <c r="AA7" s="31">
        <f t="shared" si="0"/>
        <v>2039</v>
      </c>
      <c r="AB7" s="31">
        <f t="shared" si="0"/>
        <v>2040</v>
      </c>
      <c r="AC7" s="31">
        <f t="shared" si="0"/>
        <v>2041</v>
      </c>
      <c r="AD7" s="31">
        <f t="shared" si="0"/>
        <v>2042</v>
      </c>
      <c r="AE7" s="2"/>
      <c r="AF7" s="2"/>
      <c r="AG7" s="2"/>
      <c r="AH7" s="2"/>
      <c r="AI7" s="2"/>
      <c r="AJ7" s="2"/>
      <c r="AK7" s="2"/>
    </row>
    <row r="8" spans="1:3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s="2"/>
      <c r="B9" s="27" t="s">
        <v>126</v>
      </c>
      <c r="C9" s="27"/>
      <c r="D9" s="27" t="s">
        <v>127</v>
      </c>
      <c r="E9" s="27" t="s">
        <v>127</v>
      </c>
      <c r="F9" s="27" t="s">
        <v>127</v>
      </c>
      <c r="G9" s="27" t="s">
        <v>127</v>
      </c>
      <c r="H9" s="2"/>
      <c r="I9" s="2"/>
      <c r="J9" s="2"/>
      <c r="K9" s="6"/>
      <c r="L9" s="6"/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>
      <c r="A10" s="2"/>
      <c r="B10" s="52" t="s">
        <v>128</v>
      </c>
      <c r="C10" s="35"/>
      <c r="D10" s="35">
        <v>140.63399999999999</v>
      </c>
      <c r="E10" s="35">
        <v>96.328999999999994</v>
      </c>
      <c r="F10" s="35">
        <v>146.06100000000001</v>
      </c>
      <c r="G10" s="35">
        <v>119.629</v>
      </c>
      <c r="H10" s="35"/>
      <c r="I10" s="35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 t="e">
        <f>CFS!#REF!</f>
        <v>#REF!</v>
      </c>
      <c r="AA10" s="36" t="e">
        <f>CFS!#REF!</f>
        <v>#REF!</v>
      </c>
      <c r="AB10" s="36" t="e">
        <f>CFS!#REF!</f>
        <v>#REF!</v>
      </c>
      <c r="AC10" s="36" t="e">
        <f>CFS!#REF!</f>
        <v>#REF!</v>
      </c>
      <c r="AD10" s="36" t="e">
        <f>CFS!#REF!</f>
        <v>#REF!</v>
      </c>
      <c r="AE10" s="2"/>
      <c r="AF10" s="2"/>
      <c r="AG10" s="2"/>
      <c r="AH10" s="2"/>
      <c r="AI10" s="2"/>
      <c r="AJ10" s="2"/>
      <c r="AK10" s="2"/>
    </row>
    <row r="11" spans="1:37">
      <c r="A11" s="2"/>
      <c r="B11" s="24" t="s">
        <v>129</v>
      </c>
      <c r="C11" s="35">
        <v>17505002</v>
      </c>
      <c r="D11" s="35">
        <v>29.81</v>
      </c>
      <c r="E11" s="35">
        <v>40.634</v>
      </c>
      <c r="F11" s="35">
        <v>49.51</v>
      </c>
      <c r="G11" s="35">
        <v>76.373000000000005</v>
      </c>
      <c r="H11" s="35">
        <v>2.9317000000000002</v>
      </c>
      <c r="I11" s="35">
        <v>130.18799999999999</v>
      </c>
      <c r="J11" s="35">
        <v>147.18799999999999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 t="e">
        <f>(('Costs &amp; Expenses Build'!#REF!/365)*'Costs &amp; Expenses Build'!#REF!)</f>
        <v>#REF!</v>
      </c>
      <c r="AA11" s="36" t="e">
        <f>(('Costs &amp; Expenses Build'!#REF!/365)*'Costs &amp; Expenses Build'!#REF!)</f>
        <v>#REF!</v>
      </c>
      <c r="AB11" s="36" t="e">
        <f>(('Costs &amp; Expenses Build'!#REF!/365)*'Costs &amp; Expenses Build'!#REF!)</f>
        <v>#REF!</v>
      </c>
      <c r="AC11" s="36" t="e">
        <f>(('Costs &amp; Expenses Build'!#REF!/365)*'Costs &amp; Expenses Build'!#REF!)</f>
        <v>#REF!</v>
      </c>
      <c r="AD11" s="36" t="e">
        <f>(('Costs &amp; Expenses Build'!#REF!/365)*'Costs &amp; Expenses Build'!#REF!)</f>
        <v>#REF!</v>
      </c>
      <c r="AE11" s="2"/>
      <c r="AF11" s="2"/>
      <c r="AG11" s="2"/>
      <c r="AH11" s="2"/>
      <c r="AI11" s="2"/>
      <c r="AJ11" s="2"/>
      <c r="AK11" s="2"/>
    </row>
    <row r="12" spans="1:37">
      <c r="A12" s="2"/>
      <c r="B12" s="24" t="s">
        <v>130</v>
      </c>
      <c r="C12" s="35">
        <v>51867653</v>
      </c>
      <c r="D12" s="35">
        <v>10.542999999999999</v>
      </c>
      <c r="E12" s="35">
        <v>14.177</v>
      </c>
      <c r="F12" s="35">
        <v>22.99</v>
      </c>
      <c r="G12" s="35">
        <v>34.167999999999999</v>
      </c>
      <c r="H12" s="35">
        <v>50.215000000000003</v>
      </c>
      <c r="I12" s="35">
        <v>42.570999999999998</v>
      </c>
      <c r="J12" s="35">
        <v>28.273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 t="e">
        <f>(('Costs &amp; Expenses Build'!#REF!/365)*'Costs &amp; Expenses Build'!#REF!)</f>
        <v>#REF!</v>
      </c>
      <c r="AA12" s="36" t="e">
        <f>(('Costs &amp; Expenses Build'!#REF!/365)*'Costs &amp; Expenses Build'!#REF!)</f>
        <v>#REF!</v>
      </c>
      <c r="AB12" s="36" t="e">
        <f>(('Costs &amp; Expenses Build'!#REF!/365)*'Costs &amp; Expenses Build'!#REF!)</f>
        <v>#REF!</v>
      </c>
      <c r="AC12" s="36" t="e">
        <f>(('Costs &amp; Expenses Build'!#REF!/365)*'Costs &amp; Expenses Build'!#REF!)</f>
        <v>#REF!</v>
      </c>
      <c r="AD12" s="36" t="e">
        <f>(('Costs &amp; Expenses Build'!#REF!/365)*'Costs &amp; Expenses Build'!#REF!)</f>
        <v>#REF!</v>
      </c>
      <c r="AE12" s="2"/>
      <c r="AF12" s="2"/>
      <c r="AG12" s="2"/>
      <c r="AH12" s="2"/>
      <c r="AI12" s="2"/>
      <c r="AJ12" s="2"/>
      <c r="AK12" s="2"/>
    </row>
    <row r="13" spans="1:37">
      <c r="A13" s="2"/>
      <c r="B13" s="24" t="s">
        <v>131</v>
      </c>
      <c r="C13" s="35"/>
      <c r="D13" s="35"/>
      <c r="E13" s="35"/>
      <c r="F13" s="35"/>
      <c r="G13" s="35"/>
      <c r="H13" s="35"/>
      <c r="I13" s="35">
        <v>0</v>
      </c>
      <c r="J13" s="35">
        <v>0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>
        <f t="shared" ref="Z13:AD13" si="1">Y13</f>
        <v>0</v>
      </c>
      <c r="AA13" s="36">
        <f t="shared" si="1"/>
        <v>0</v>
      </c>
      <c r="AB13" s="36">
        <f t="shared" si="1"/>
        <v>0</v>
      </c>
      <c r="AC13" s="36">
        <f t="shared" si="1"/>
        <v>0</v>
      </c>
      <c r="AD13" s="36">
        <f t="shared" si="1"/>
        <v>0</v>
      </c>
      <c r="AE13" s="2"/>
      <c r="AF13" s="2"/>
      <c r="AG13" s="2"/>
      <c r="AH13" s="2"/>
      <c r="AI13" s="2"/>
      <c r="AJ13" s="2"/>
      <c r="AK13" s="2"/>
    </row>
    <row r="14" spans="1:37">
      <c r="A14" s="2"/>
      <c r="B14" s="24" t="s">
        <v>132</v>
      </c>
      <c r="C14" s="35">
        <v>57918723</v>
      </c>
      <c r="D14" s="35">
        <v>9.1969999999999992</v>
      </c>
      <c r="E14" s="35">
        <v>12.795999999999999</v>
      </c>
      <c r="F14" s="35">
        <v>9.5020000000000007</v>
      </c>
      <c r="G14" s="35">
        <v>13.504</v>
      </c>
      <c r="H14" s="35">
        <v>85.191999999999993</v>
      </c>
      <c r="I14" s="35">
        <v>81.759</v>
      </c>
      <c r="J14" s="35">
        <v>117.488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 t="e">
        <f>'Costs &amp; Expenses Build'!#REF!</f>
        <v>#REF!</v>
      </c>
      <c r="AA14" s="36" t="e">
        <f>'Costs &amp; Expenses Build'!#REF!</f>
        <v>#REF!</v>
      </c>
      <c r="AB14" s="36" t="e">
        <f>'Costs &amp; Expenses Build'!#REF!</f>
        <v>#REF!</v>
      </c>
      <c r="AC14" s="36" t="e">
        <f>'Costs &amp; Expenses Build'!#REF!</f>
        <v>#REF!</v>
      </c>
      <c r="AD14" s="36" t="e">
        <f>'Costs &amp; Expenses Build'!#REF!</f>
        <v>#REF!</v>
      </c>
      <c r="AE14" s="2"/>
      <c r="AF14" s="2"/>
      <c r="AG14" s="2"/>
      <c r="AH14" s="2"/>
      <c r="AI14" s="2"/>
      <c r="AJ14" s="2"/>
      <c r="AK14" s="2"/>
    </row>
    <row r="15" spans="1:37">
      <c r="A15" s="2"/>
      <c r="B15" s="9" t="s">
        <v>91</v>
      </c>
      <c r="C15" s="10">
        <v>3247255</v>
      </c>
      <c r="D15" s="10">
        <f t="shared" ref="D15:AD15" si="2">SUM(D10:D14)</f>
        <v>190.184</v>
      </c>
      <c r="E15" s="10">
        <f t="shared" si="2"/>
        <v>163.93599999999998</v>
      </c>
      <c r="F15" s="10">
        <f t="shared" si="2"/>
        <v>228.06300000000002</v>
      </c>
      <c r="G15" s="10">
        <f t="shared" si="2"/>
        <v>243.67400000000001</v>
      </c>
      <c r="H15" s="10">
        <v>6.2050000000000001</v>
      </c>
      <c r="I15" s="10">
        <v>14.287000000000001</v>
      </c>
      <c r="J15" s="10">
        <v>27.585000000000001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 t="e">
        <f t="shared" si="2"/>
        <v>#REF!</v>
      </c>
      <c r="AA15" s="11" t="e">
        <f t="shared" si="2"/>
        <v>#REF!</v>
      </c>
      <c r="AB15" s="11" t="e">
        <f t="shared" si="2"/>
        <v>#REF!</v>
      </c>
      <c r="AC15" s="11" t="e">
        <f t="shared" si="2"/>
        <v>#REF!</v>
      </c>
      <c r="AD15" s="11" t="e">
        <f t="shared" si="2"/>
        <v>#REF!</v>
      </c>
      <c r="AE15" s="2"/>
      <c r="AF15" s="2"/>
      <c r="AG15" s="2"/>
      <c r="AH15" s="2"/>
      <c r="AI15" s="2"/>
      <c r="AJ15" s="2"/>
      <c r="AK15" s="2"/>
    </row>
    <row r="16" spans="1:37">
      <c r="A16" s="2"/>
      <c r="B16" s="38" t="s">
        <v>133</v>
      </c>
      <c r="C16" s="35">
        <v>6130990</v>
      </c>
      <c r="D16" s="35"/>
      <c r="E16" s="35"/>
      <c r="F16" s="35"/>
      <c r="G16" s="35"/>
      <c r="H16" s="35">
        <v>0.47399999999999998</v>
      </c>
      <c r="I16" s="35">
        <v>0</v>
      </c>
      <c r="J16" s="35">
        <v>0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2"/>
      <c r="AF16" s="2"/>
      <c r="AG16" s="2"/>
      <c r="AH16" s="2"/>
      <c r="AI16" s="2"/>
      <c r="AJ16" s="2"/>
      <c r="AK16" s="2"/>
    </row>
    <row r="17" spans="1:37">
      <c r="A17" s="2"/>
      <c r="B17" s="53" t="s">
        <v>89</v>
      </c>
      <c r="C17" s="35">
        <v>5116175</v>
      </c>
      <c r="D17" s="35"/>
      <c r="E17" s="35"/>
      <c r="F17" s="35"/>
      <c r="G17" s="35"/>
      <c r="H17" s="35">
        <v>7.56</v>
      </c>
      <c r="I17" s="35">
        <v>2.7240000000000002</v>
      </c>
      <c r="J17" s="35">
        <v>13.022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2"/>
      <c r="AF17" s="2"/>
      <c r="AG17" s="2"/>
      <c r="AH17" s="2"/>
      <c r="AI17" s="2"/>
      <c r="AJ17" s="2"/>
      <c r="AK17" s="2"/>
    </row>
    <row r="18" spans="1:37">
      <c r="A18" s="2"/>
      <c r="B18" s="24" t="s">
        <v>134</v>
      </c>
      <c r="C18" s="35">
        <v>141785798</v>
      </c>
      <c r="D18" s="35">
        <v>20.18</v>
      </c>
      <c r="E18" s="35">
        <v>23.459</v>
      </c>
      <c r="F18" s="35">
        <v>27.757000000000001</v>
      </c>
      <c r="G18" s="35">
        <v>38.548000000000002</v>
      </c>
      <c r="H18" s="35">
        <v>178.96299999999999</v>
      </c>
      <c r="I18" s="35">
        <v>271.529</v>
      </c>
      <c r="J18" s="35">
        <v>333.55599999999998</v>
      </c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 t="e">
        <f>#REF!</f>
        <v>#REF!</v>
      </c>
      <c r="AA18" s="36" t="e">
        <f>#REF!</f>
        <v>#REF!</v>
      </c>
      <c r="AB18" s="36" t="e">
        <f>#REF!</f>
        <v>#REF!</v>
      </c>
      <c r="AC18" s="36" t="e">
        <f>#REF!</f>
        <v>#REF!</v>
      </c>
      <c r="AD18" s="36" t="e">
        <f>#REF!</f>
        <v>#REF!</v>
      </c>
      <c r="AE18" s="2"/>
      <c r="AF18" s="2"/>
      <c r="AG18" s="2"/>
      <c r="AH18" s="2"/>
      <c r="AI18" s="2"/>
      <c r="AJ18" s="2"/>
      <c r="AK18" s="2"/>
    </row>
    <row r="19" spans="1:37">
      <c r="A19" s="2"/>
      <c r="B19" s="24" t="s">
        <v>135</v>
      </c>
      <c r="C19" s="35"/>
      <c r="D19" s="35">
        <v>4.5679999999999996</v>
      </c>
      <c r="E19" s="35">
        <v>94.286000000000001</v>
      </c>
      <c r="F19" s="35">
        <v>79.066999999999993</v>
      </c>
      <c r="G19" s="35">
        <v>103.438</v>
      </c>
      <c r="H19" s="35"/>
      <c r="I19" s="35">
        <v>0</v>
      </c>
      <c r="J19" s="35">
        <v>0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 t="e">
        <f>#REF!</f>
        <v>#REF!</v>
      </c>
      <c r="AA19" s="36" t="e">
        <f>#REF!</f>
        <v>#REF!</v>
      </c>
      <c r="AB19" s="36" t="e">
        <f>#REF!</f>
        <v>#REF!</v>
      </c>
      <c r="AC19" s="36" t="e">
        <f>#REF!</f>
        <v>#REF!</v>
      </c>
      <c r="AD19" s="36" t="e">
        <f>#REF!</f>
        <v>#REF!</v>
      </c>
      <c r="AE19" s="2"/>
      <c r="AF19" s="2"/>
      <c r="AG19" s="2"/>
      <c r="AH19" s="2"/>
      <c r="AI19" s="2"/>
      <c r="AJ19" s="2"/>
      <c r="AK19" s="2"/>
    </row>
    <row r="20" spans="1:37">
      <c r="A20" s="2"/>
      <c r="B20" s="24" t="s">
        <v>136</v>
      </c>
      <c r="C20" s="35">
        <v>111896294</v>
      </c>
      <c r="D20" s="35">
        <v>24.722999999999999</v>
      </c>
      <c r="E20" s="35">
        <v>63.591000000000001</v>
      </c>
      <c r="F20" s="35">
        <v>63.591000000000001</v>
      </c>
      <c r="G20" s="35">
        <v>104.96299999999999</v>
      </c>
      <c r="H20" s="35">
        <v>86.843999999999994</v>
      </c>
      <c r="I20" s="35">
        <v>73.364000000000004</v>
      </c>
      <c r="J20" s="35">
        <v>31.288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>
        <f t="shared" ref="Z20:AD20" si="3">Y20</f>
        <v>0</v>
      </c>
      <c r="AA20" s="36">
        <f t="shared" si="3"/>
        <v>0</v>
      </c>
      <c r="AB20" s="36">
        <f t="shared" si="3"/>
        <v>0</v>
      </c>
      <c r="AC20" s="36">
        <f t="shared" si="3"/>
        <v>0</v>
      </c>
      <c r="AD20" s="36">
        <f t="shared" si="3"/>
        <v>0</v>
      </c>
      <c r="AE20" s="2"/>
      <c r="AF20" s="2"/>
      <c r="AG20" s="2"/>
      <c r="AH20" s="2"/>
      <c r="AI20" s="2"/>
      <c r="AJ20" s="2"/>
      <c r="AK20" s="2"/>
    </row>
    <row r="21" spans="1:37" ht="15.75" customHeight="1">
      <c r="A21" s="2"/>
      <c r="B21" s="52" t="s">
        <v>137</v>
      </c>
      <c r="C21" s="35">
        <v>7461792</v>
      </c>
      <c r="D21" s="35">
        <v>16.751999999999999</v>
      </c>
      <c r="E21" s="35">
        <v>18.443999999999999</v>
      </c>
      <c r="F21" s="35">
        <v>28.952000000000002</v>
      </c>
      <c r="G21" s="35">
        <v>19.137</v>
      </c>
      <c r="H21" s="35">
        <v>7.8390000000000004</v>
      </c>
      <c r="I21" s="35">
        <v>7.35</v>
      </c>
      <c r="J21" s="35">
        <v>12.638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>
        <f t="shared" ref="Z21:AD21" si="4">Y21</f>
        <v>0</v>
      </c>
      <c r="AA21" s="36">
        <f t="shared" si="4"/>
        <v>0</v>
      </c>
      <c r="AB21" s="36">
        <f t="shared" si="4"/>
        <v>0</v>
      </c>
      <c r="AC21" s="36">
        <f t="shared" si="4"/>
        <v>0</v>
      </c>
      <c r="AD21" s="36">
        <f t="shared" si="4"/>
        <v>0</v>
      </c>
      <c r="AE21" s="2"/>
      <c r="AF21" s="2"/>
      <c r="AG21" s="2"/>
      <c r="AH21" s="2"/>
      <c r="AI21" s="2"/>
      <c r="AJ21" s="2"/>
      <c r="AK21" s="2"/>
    </row>
    <row r="22" spans="1:37" ht="15.75" customHeight="1">
      <c r="A22" s="2"/>
      <c r="B22" s="52" t="s">
        <v>131</v>
      </c>
      <c r="C22" s="35"/>
      <c r="D22" s="35"/>
      <c r="E22" s="35"/>
      <c r="F22" s="35"/>
      <c r="G22" s="35">
        <v>30.523</v>
      </c>
      <c r="H22" s="35"/>
      <c r="I22" s="35">
        <v>0</v>
      </c>
      <c r="J22" s="35">
        <v>0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e">
        <f>#REF!</f>
        <v>#REF!</v>
      </c>
      <c r="AA22" s="36" t="e">
        <f>#REF!</f>
        <v>#REF!</v>
      </c>
      <c r="AB22" s="36" t="e">
        <f>#REF!</f>
        <v>#REF!</v>
      </c>
      <c r="AC22" s="36" t="e">
        <f>#REF!</f>
        <v>#REF!</v>
      </c>
      <c r="AD22" s="36" t="e">
        <f>#REF!</f>
        <v>#REF!</v>
      </c>
      <c r="AE22" s="2"/>
      <c r="AF22" s="2"/>
      <c r="AG22" s="2"/>
      <c r="AH22" s="2"/>
      <c r="AI22" s="2"/>
      <c r="AJ22" s="2"/>
      <c r="AK22" s="2"/>
    </row>
    <row r="23" spans="1:37" ht="15.75" customHeight="1">
      <c r="A23" s="2"/>
      <c r="B23" s="24" t="s">
        <v>132</v>
      </c>
      <c r="C23" s="35">
        <v>37043804</v>
      </c>
      <c r="D23" s="35">
        <v>4.8380000000000001</v>
      </c>
      <c r="E23" s="35">
        <v>7.9249999999999998</v>
      </c>
      <c r="F23" s="35">
        <v>13.555</v>
      </c>
      <c r="G23" s="35">
        <v>17.515999999999998</v>
      </c>
      <c r="H23" s="35">
        <v>55.463000000000001</v>
      </c>
      <c r="I23" s="35">
        <v>77.534000000000006</v>
      </c>
      <c r="J23" s="35">
        <v>66.042000000000002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 t="e">
        <f>#REF!</f>
        <v>#REF!</v>
      </c>
      <c r="AA23" s="36" t="e">
        <f>#REF!</f>
        <v>#REF!</v>
      </c>
      <c r="AB23" s="36" t="e">
        <f>#REF!</f>
        <v>#REF!</v>
      </c>
      <c r="AC23" s="36" t="e">
        <f>#REF!</f>
        <v>#REF!</v>
      </c>
      <c r="AD23" s="36" t="e">
        <f>#REF!</f>
        <v>#REF!</v>
      </c>
      <c r="AE23" s="2"/>
      <c r="AF23" s="2"/>
      <c r="AG23" s="2"/>
      <c r="AH23" s="2"/>
      <c r="AI23" s="2"/>
      <c r="AJ23" s="2"/>
      <c r="AK23" s="2"/>
    </row>
    <row r="24" spans="1:37" ht="15.75" customHeight="1">
      <c r="A24" s="2"/>
      <c r="B24" s="9" t="s">
        <v>138</v>
      </c>
      <c r="C24" s="10"/>
      <c r="D24" s="10">
        <f t="shared" ref="D24:AD24" si="5">SUM(D18:D23)</f>
        <v>71.060999999999993</v>
      </c>
      <c r="E24" s="10">
        <f t="shared" si="5"/>
        <v>207.70500000000001</v>
      </c>
      <c r="F24" s="10">
        <f t="shared" si="5"/>
        <v>212.922</v>
      </c>
      <c r="G24" s="10">
        <f t="shared" si="5"/>
        <v>314.12500000000006</v>
      </c>
      <c r="H24" s="10"/>
      <c r="I24" s="10">
        <v>0</v>
      </c>
      <c r="J24" s="10">
        <v>31.623999999999999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 t="e">
        <f t="shared" si="5"/>
        <v>#REF!</v>
      </c>
      <c r="AA24" s="11" t="e">
        <f t="shared" si="5"/>
        <v>#REF!</v>
      </c>
      <c r="AB24" s="11" t="e">
        <f t="shared" si="5"/>
        <v>#REF!</v>
      </c>
      <c r="AC24" s="11" t="e">
        <f t="shared" si="5"/>
        <v>#REF!</v>
      </c>
      <c r="AD24" s="11" t="e">
        <f t="shared" si="5"/>
        <v>#REF!</v>
      </c>
      <c r="AE24" s="2"/>
      <c r="AF24" s="2"/>
      <c r="AG24" s="2"/>
      <c r="AH24" s="2"/>
      <c r="AI24" s="2"/>
      <c r="AJ24" s="2"/>
      <c r="AK24" s="2"/>
    </row>
    <row r="25" spans="1:37" ht="15.75" customHeight="1">
      <c r="A25" s="2"/>
      <c r="B25" s="27" t="s">
        <v>139</v>
      </c>
      <c r="C25" s="39">
        <v>4753679</v>
      </c>
      <c r="D25" s="39">
        <f t="shared" ref="D25:G25" si="6">D15+D24</f>
        <v>261.245</v>
      </c>
      <c r="E25" s="39">
        <f t="shared" si="6"/>
        <v>371.64099999999996</v>
      </c>
      <c r="F25" s="39">
        <f t="shared" si="6"/>
        <v>440.98500000000001</v>
      </c>
      <c r="G25" s="39">
        <f t="shared" si="6"/>
        <v>557.79900000000009</v>
      </c>
      <c r="H25" s="39">
        <v>5.7080000000000002</v>
      </c>
      <c r="I25" s="39">
        <v>10.013</v>
      </c>
      <c r="J25" s="39">
        <v>11.287000000000001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 t="e">
        <f t="shared" ref="Z25:AD25" si="7">SUM(Z24,Z15)</f>
        <v>#REF!</v>
      </c>
      <c r="AA25" s="36" t="e">
        <f t="shared" si="7"/>
        <v>#REF!</v>
      </c>
      <c r="AB25" s="36" t="e">
        <f t="shared" si="7"/>
        <v>#REF!</v>
      </c>
      <c r="AC25" s="36" t="e">
        <f t="shared" si="7"/>
        <v>#REF!</v>
      </c>
      <c r="AD25" s="36" t="e">
        <f t="shared" si="7"/>
        <v>#REF!</v>
      </c>
      <c r="AE25" s="2"/>
      <c r="AF25" s="2"/>
      <c r="AG25" s="2"/>
      <c r="AH25" s="2"/>
      <c r="AI25" s="2"/>
      <c r="AJ25" s="2"/>
      <c r="AK25" s="2"/>
    </row>
    <row r="26" spans="1:37" ht="15.75" customHeight="1">
      <c r="A26" s="2"/>
      <c r="B26" s="38" t="s">
        <v>140</v>
      </c>
      <c r="C26" s="35">
        <v>1034564</v>
      </c>
      <c r="D26" s="35"/>
      <c r="E26" s="35"/>
      <c r="F26" s="35"/>
      <c r="G26" s="35"/>
      <c r="H26" s="35">
        <v>0.36699999999999999</v>
      </c>
      <c r="I26" s="35">
        <v>0.999</v>
      </c>
      <c r="J26" s="35">
        <v>0.54400000000000004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2"/>
      <c r="AF26" s="2"/>
      <c r="AG26" s="2"/>
      <c r="AH26" s="2"/>
      <c r="AI26" s="2"/>
      <c r="AJ26" s="2"/>
      <c r="AK26" s="2"/>
    </row>
    <row r="27" spans="1:37" ht="15.75" customHeight="1">
      <c r="A27" s="2"/>
      <c r="B27" s="27" t="s">
        <v>141</v>
      </c>
      <c r="C27" s="35">
        <v>324869</v>
      </c>
      <c r="D27" s="35"/>
      <c r="E27" s="35"/>
      <c r="F27" s="35"/>
      <c r="G27" s="35"/>
      <c r="H27" s="35">
        <v>0.27100000000000002</v>
      </c>
      <c r="I27" s="35">
        <v>0.59799999999999998</v>
      </c>
      <c r="J27" s="35">
        <v>0.628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2"/>
      <c r="AF27" s="2"/>
      <c r="AG27" s="2"/>
      <c r="AH27" s="2"/>
      <c r="AI27" s="2"/>
      <c r="AJ27" s="2"/>
      <c r="AK27" s="2"/>
    </row>
    <row r="28" spans="1:37" ht="15.75" customHeight="1">
      <c r="A28" s="2"/>
      <c r="B28" s="24" t="s">
        <v>133</v>
      </c>
      <c r="C28" s="35">
        <v>5449739</v>
      </c>
      <c r="D28" s="35">
        <v>18.289000000000001</v>
      </c>
      <c r="E28" s="35">
        <v>17.007999999999999</v>
      </c>
      <c r="F28" s="35">
        <v>20.213999999999999</v>
      </c>
      <c r="G28" s="35">
        <v>32.878</v>
      </c>
      <c r="H28" s="35">
        <v>5.45</v>
      </c>
      <c r="I28" s="35">
        <v>0</v>
      </c>
      <c r="J28" s="35">
        <v>0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e">
        <f>('Costs &amp; Expenses Build'!#REF!/365)*'Costs &amp; Expenses Build'!#REF!</f>
        <v>#REF!</v>
      </c>
      <c r="AA28" s="36" t="e">
        <f>('Costs &amp; Expenses Build'!#REF!/365)*'Costs &amp; Expenses Build'!#REF!</f>
        <v>#REF!</v>
      </c>
      <c r="AB28" s="36" t="e">
        <f>('Costs &amp; Expenses Build'!#REF!/365)*'Costs &amp; Expenses Build'!#REF!</f>
        <v>#REF!</v>
      </c>
      <c r="AC28" s="36" t="e">
        <f>('Costs &amp; Expenses Build'!#REF!/365)*'Costs &amp; Expenses Build'!#REF!</f>
        <v>#REF!</v>
      </c>
      <c r="AD28" s="36" t="e">
        <f>('Costs &amp; Expenses Build'!#REF!/365)*'Costs &amp; Expenses Build'!#REF!</f>
        <v>#REF!</v>
      </c>
      <c r="AE28" s="2"/>
      <c r="AF28" s="2"/>
      <c r="AG28" s="2"/>
      <c r="AH28" s="2"/>
      <c r="AI28" s="2"/>
      <c r="AJ28" s="2"/>
      <c r="AK28" s="2"/>
    </row>
    <row r="29" spans="1:37" ht="15.75" customHeight="1">
      <c r="A29" s="2"/>
      <c r="B29" s="24" t="s">
        <v>142</v>
      </c>
      <c r="C29" s="35">
        <v>13858551</v>
      </c>
      <c r="D29" s="35">
        <v>5.298</v>
      </c>
      <c r="E29" s="35">
        <v>4.3010000000000002</v>
      </c>
      <c r="F29" s="35">
        <v>34.557000000000002</v>
      </c>
      <c r="G29" s="35">
        <v>10.092000000000001</v>
      </c>
      <c r="H29" s="35">
        <v>19.86</v>
      </c>
      <c r="I29" s="35">
        <v>19.86</v>
      </c>
      <c r="J29" s="35">
        <v>19.86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e">
        <f>'Costs &amp; Expenses Build'!#REF!</f>
        <v>#REF!</v>
      </c>
      <c r="AA29" s="36" t="e">
        <f>'Costs &amp; Expenses Build'!#REF!</f>
        <v>#REF!</v>
      </c>
      <c r="AB29" s="36" t="e">
        <f>'Costs &amp; Expenses Build'!#REF!</f>
        <v>#REF!</v>
      </c>
      <c r="AC29" s="36" t="e">
        <f>'Costs &amp; Expenses Build'!#REF!</f>
        <v>#REF!</v>
      </c>
      <c r="AD29" s="36" t="e">
        <f>'Costs &amp; Expenses Build'!#REF!</f>
        <v>#REF!</v>
      </c>
      <c r="AE29" s="2"/>
      <c r="AF29" s="2"/>
      <c r="AG29" s="2"/>
      <c r="AH29" s="2"/>
      <c r="AI29" s="2"/>
      <c r="AJ29" s="2"/>
      <c r="AK29" s="2"/>
    </row>
    <row r="30" spans="1:37" ht="15.75" customHeight="1">
      <c r="A30" s="2"/>
      <c r="B30" s="24" t="s">
        <v>143</v>
      </c>
      <c r="C30" s="35">
        <v>20375166</v>
      </c>
      <c r="D30" s="35">
        <v>8.8140000000000001</v>
      </c>
      <c r="E30" s="35">
        <v>12.127000000000001</v>
      </c>
      <c r="F30" s="35">
        <v>13.484</v>
      </c>
      <c r="G30" s="35">
        <v>16.341999999999999</v>
      </c>
      <c r="H30" s="35">
        <v>28.364000000000001</v>
      </c>
      <c r="I30" s="35">
        <v>26.238</v>
      </c>
      <c r="J30" s="35">
        <v>24.111999999999998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 t="e">
        <f>'Costs &amp; Expenses Build'!#REF!</f>
        <v>#REF!</v>
      </c>
      <c r="AA30" s="36" t="e">
        <f>'Costs &amp; Expenses Build'!#REF!</f>
        <v>#REF!</v>
      </c>
      <c r="AB30" s="36" t="e">
        <f>'Costs &amp; Expenses Build'!#REF!</f>
        <v>#REF!</v>
      </c>
      <c r="AC30" s="36" t="e">
        <f>'Costs &amp; Expenses Build'!#REF!</f>
        <v>#REF!</v>
      </c>
      <c r="AD30" s="36" t="e">
        <f>'Costs &amp; Expenses Build'!#REF!</f>
        <v>#REF!</v>
      </c>
      <c r="AE30" s="2"/>
      <c r="AF30" s="2"/>
      <c r="AG30" s="2"/>
      <c r="AH30" s="2"/>
      <c r="AI30" s="2"/>
      <c r="AJ30" s="2"/>
      <c r="AK30" s="2"/>
    </row>
    <row r="31" spans="1:37" ht="15.75" customHeight="1">
      <c r="A31" s="2"/>
      <c r="B31" s="54" t="s">
        <v>144</v>
      </c>
      <c r="C31" s="35">
        <v>343984256</v>
      </c>
      <c r="D31" s="35">
        <v>2.585</v>
      </c>
      <c r="E31" s="35">
        <v>3.2919999999999998</v>
      </c>
      <c r="F31" s="35">
        <v>3.3559999999999999</v>
      </c>
      <c r="G31" s="35">
        <v>3.0430000000000001</v>
      </c>
      <c r="H31" s="35">
        <v>389.12900000000002</v>
      </c>
      <c r="I31" s="35">
        <v>487.48500000000001</v>
      </c>
      <c r="J31" s="35">
        <v>531.57899999999995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 t="e">
        <f>'Costs &amp; Expenses Build'!#REF!</f>
        <v>#REF!</v>
      </c>
      <c r="AA31" s="36" t="e">
        <f>'Costs &amp; Expenses Build'!#REF!</f>
        <v>#REF!</v>
      </c>
      <c r="AB31" s="36" t="e">
        <f>'Costs &amp; Expenses Build'!#REF!</f>
        <v>#REF!</v>
      </c>
      <c r="AC31" s="36" t="e">
        <f>'Costs &amp; Expenses Build'!#REF!</f>
        <v>#REF!</v>
      </c>
      <c r="AD31" s="36" t="e">
        <f>'Costs &amp; Expenses Build'!#REF!</f>
        <v>#REF!</v>
      </c>
      <c r="AE31" s="2"/>
      <c r="AF31" s="2"/>
      <c r="AG31" s="2"/>
      <c r="AH31" s="2"/>
      <c r="AI31" s="2"/>
      <c r="AJ31" s="2"/>
      <c r="AK31" s="2"/>
    </row>
    <row r="32" spans="1:37" ht="15.75" customHeight="1">
      <c r="A32" s="2">
        <v>1000</v>
      </c>
      <c r="B32" s="52" t="s">
        <v>145</v>
      </c>
      <c r="C32" s="35"/>
      <c r="D32" s="35"/>
      <c r="E32" s="35"/>
      <c r="F32" s="35"/>
      <c r="G32" s="35">
        <v>7.6829999999999998</v>
      </c>
      <c r="H32" s="35">
        <v>0</v>
      </c>
      <c r="I32" s="35">
        <v>0</v>
      </c>
      <c r="J32" s="35">
        <v>0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 t="e">
        <f>#REF!</f>
        <v>#REF!</v>
      </c>
      <c r="AA32" s="36" t="e">
        <f>#REF!</f>
        <v>#REF!</v>
      </c>
      <c r="AB32" s="36" t="e">
        <f>#REF!</f>
        <v>#REF!</v>
      </c>
      <c r="AC32" s="36" t="e">
        <f>#REF!</f>
        <v>#REF!</v>
      </c>
      <c r="AD32" s="36" t="e">
        <f>#REF!</f>
        <v>#REF!</v>
      </c>
      <c r="AE32" s="2"/>
      <c r="AF32" s="2"/>
      <c r="AG32" s="2"/>
      <c r="AH32" s="2"/>
      <c r="AI32" s="2"/>
      <c r="AJ32" s="2"/>
      <c r="AK32" s="2"/>
    </row>
    <row r="33" spans="1:37" ht="15.75" customHeight="1">
      <c r="A33" s="2"/>
      <c r="B33" s="52" t="s">
        <v>92</v>
      </c>
      <c r="C33" s="35">
        <v>17030404</v>
      </c>
      <c r="D33" s="35">
        <v>0</v>
      </c>
      <c r="E33" s="35">
        <v>0</v>
      </c>
      <c r="F33" s="35">
        <v>0</v>
      </c>
      <c r="G33" s="35">
        <v>0</v>
      </c>
      <c r="H33" s="35">
        <v>16.364000000000001</v>
      </c>
      <c r="I33" s="35">
        <v>19.966999999999999</v>
      </c>
      <c r="J33" s="35">
        <v>21.131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>
        <f t="shared" ref="Z33:AD33" si="8">0</f>
        <v>0</v>
      </c>
      <c r="AA33" s="36">
        <f t="shared" si="8"/>
        <v>0</v>
      </c>
      <c r="AB33" s="36">
        <f t="shared" si="8"/>
        <v>0</v>
      </c>
      <c r="AC33" s="36">
        <f t="shared" si="8"/>
        <v>0</v>
      </c>
      <c r="AD33" s="36">
        <f t="shared" si="8"/>
        <v>0</v>
      </c>
      <c r="AE33" s="2"/>
      <c r="AF33" s="2"/>
      <c r="AG33" s="2"/>
      <c r="AH33" s="2"/>
      <c r="AI33" s="2"/>
      <c r="AJ33" s="2"/>
      <c r="AK33" s="2"/>
    </row>
    <row r="34" spans="1:37" ht="15.75" customHeight="1">
      <c r="A34" s="2"/>
      <c r="B34" s="24" t="s">
        <v>95</v>
      </c>
      <c r="C34" s="35">
        <v>9629084</v>
      </c>
      <c r="D34" s="35">
        <f>2.506+2.207</f>
        <v>4.7129999999999992</v>
      </c>
      <c r="E34" s="35">
        <f>2.802+4.973</f>
        <v>7.7750000000000004</v>
      </c>
      <c r="F34" s="35">
        <f>0.2+3.459</f>
        <v>3.6590000000000003</v>
      </c>
      <c r="G34" s="35">
        <f>0.141+5.616</f>
        <v>5.7569999999999997</v>
      </c>
      <c r="H34" s="35">
        <v>8.5760000000000005</v>
      </c>
      <c r="I34" s="35">
        <v>8.4239999999999995</v>
      </c>
      <c r="J34" s="35">
        <v>8.843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e">
        <f>'Costs &amp; Expenses Build'!#REF!</f>
        <v>#REF!</v>
      </c>
      <c r="AA34" s="36" t="e">
        <f>'Costs &amp; Expenses Build'!#REF!</f>
        <v>#REF!</v>
      </c>
      <c r="AB34" s="36" t="e">
        <f>'Costs &amp; Expenses Build'!#REF!</f>
        <v>#REF!</v>
      </c>
      <c r="AC34" s="36" t="e">
        <f>'Costs &amp; Expenses Build'!#REF!</f>
        <v>#REF!</v>
      </c>
      <c r="AD34" s="36" t="e">
        <f>'Costs &amp; Expenses Build'!#REF!</f>
        <v>#REF!</v>
      </c>
      <c r="AE34" s="2"/>
      <c r="AF34" s="2"/>
      <c r="AG34" s="2"/>
      <c r="AH34" s="2"/>
      <c r="AI34" s="2"/>
      <c r="AJ34" s="2"/>
      <c r="AK34" s="2"/>
    </row>
    <row r="35" spans="1:37" ht="15.75" customHeight="1">
      <c r="A35" s="2"/>
      <c r="B35" s="9" t="s">
        <v>94</v>
      </c>
      <c r="C35" s="10">
        <v>0</v>
      </c>
      <c r="D35" s="10">
        <f t="shared" ref="D35:AD35" si="9">SUM(D28:D34)</f>
        <v>39.699000000000005</v>
      </c>
      <c r="E35" s="10">
        <f t="shared" si="9"/>
        <v>44.503</v>
      </c>
      <c r="F35" s="10">
        <f t="shared" si="9"/>
        <v>75.27</v>
      </c>
      <c r="G35" s="10">
        <f t="shared" si="9"/>
        <v>75.795000000000002</v>
      </c>
      <c r="H35" s="10">
        <v>1.3240000000000001</v>
      </c>
      <c r="I35" s="10">
        <v>3.4430000000000001</v>
      </c>
      <c r="J35" s="10">
        <v>0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 t="e">
        <f t="shared" si="9"/>
        <v>#REF!</v>
      </c>
      <c r="AA35" s="11" t="e">
        <f t="shared" si="9"/>
        <v>#REF!</v>
      </c>
      <c r="AB35" s="11" t="e">
        <f t="shared" si="9"/>
        <v>#REF!</v>
      </c>
      <c r="AC35" s="11" t="e">
        <f t="shared" si="9"/>
        <v>#REF!</v>
      </c>
      <c r="AD35" s="11" t="e">
        <f t="shared" si="9"/>
        <v>#REF!</v>
      </c>
      <c r="AE35" s="2"/>
      <c r="AF35" s="2"/>
      <c r="AG35" s="2"/>
      <c r="AH35" s="2"/>
      <c r="AI35" s="2"/>
      <c r="AJ35" s="2"/>
      <c r="AK35" s="2"/>
    </row>
    <row r="36" spans="1:37" ht="15.75" customHeight="1">
      <c r="A36" s="2"/>
      <c r="B36" s="38" t="s">
        <v>97</v>
      </c>
      <c r="C36" s="35">
        <v>3473921</v>
      </c>
      <c r="D36" s="35"/>
      <c r="E36" s="35"/>
      <c r="F36" s="35"/>
      <c r="G36" s="35"/>
      <c r="H36" s="35">
        <v>2.82</v>
      </c>
      <c r="I36" s="35">
        <v>33.212000000000003</v>
      </c>
      <c r="J36" s="35">
        <v>17.085000000000001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2"/>
      <c r="AF36" s="2"/>
      <c r="AG36" s="2"/>
      <c r="AH36" s="2"/>
      <c r="AI36" s="2"/>
      <c r="AJ36" s="2"/>
      <c r="AK36" s="2"/>
    </row>
    <row r="37" spans="1:37" ht="15.75" customHeight="1">
      <c r="A37" s="2"/>
      <c r="B37" s="53" t="s">
        <v>146</v>
      </c>
      <c r="C37" s="35"/>
      <c r="D37" s="35"/>
      <c r="E37" s="35"/>
      <c r="F37" s="35"/>
      <c r="G37" s="35"/>
      <c r="H37" s="35">
        <v>0</v>
      </c>
      <c r="I37" s="35">
        <v>0</v>
      </c>
      <c r="J37" s="35">
        <v>4.4260000000000002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2"/>
      <c r="AF37" s="2"/>
      <c r="AG37" s="2"/>
      <c r="AH37" s="2"/>
      <c r="AI37" s="2"/>
      <c r="AJ37" s="2"/>
      <c r="AK37" s="2"/>
    </row>
    <row r="38" spans="1:37" ht="15.75" customHeight="1">
      <c r="A38" s="2"/>
      <c r="B38" s="24" t="s">
        <v>147</v>
      </c>
      <c r="C38" s="35">
        <v>3351714</v>
      </c>
      <c r="D38" s="35">
        <v>10.039999999999999</v>
      </c>
      <c r="E38" s="35">
        <v>9.3859999999999992</v>
      </c>
      <c r="F38" s="35">
        <v>7.82</v>
      </c>
      <c r="G38" s="35">
        <v>7.4550000000000001</v>
      </c>
      <c r="H38" s="35">
        <v>0</v>
      </c>
      <c r="I38" s="35">
        <v>0</v>
      </c>
      <c r="J38" s="35">
        <v>0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>
        <f t="shared" ref="Z38:AD38" si="10">Y38</f>
        <v>0</v>
      </c>
      <c r="AA38" s="36">
        <f t="shared" si="10"/>
        <v>0</v>
      </c>
      <c r="AB38" s="36">
        <f t="shared" si="10"/>
        <v>0</v>
      </c>
      <c r="AC38" s="36">
        <f t="shared" si="10"/>
        <v>0</v>
      </c>
      <c r="AD38" s="36">
        <f t="shared" si="10"/>
        <v>0</v>
      </c>
      <c r="AE38" s="2"/>
      <c r="AF38" s="2"/>
      <c r="AG38" s="2"/>
      <c r="AH38" s="2"/>
      <c r="AI38" s="2"/>
      <c r="AJ38" s="2"/>
      <c r="AK38" s="2"/>
    </row>
    <row r="39" spans="1:37" ht="15.75" customHeight="1">
      <c r="A39" s="2"/>
      <c r="B39" s="24" t="s">
        <v>96</v>
      </c>
      <c r="C39" s="35">
        <v>7708761</v>
      </c>
      <c r="D39" s="35"/>
      <c r="E39" s="35"/>
      <c r="F39" s="35"/>
      <c r="G39" s="35"/>
      <c r="H39" s="35">
        <v>2.5950000000000002</v>
      </c>
      <c r="I39" s="35">
        <v>2.86</v>
      </c>
      <c r="J39" s="35">
        <v>1.355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 t="e">
        <f>#REF!</f>
        <v>#REF!</v>
      </c>
      <c r="AA39" s="36" t="e">
        <f>#REF!</f>
        <v>#REF!</v>
      </c>
      <c r="AB39" s="36" t="e">
        <f>#REF!</f>
        <v>#REF!</v>
      </c>
      <c r="AC39" s="36" t="e">
        <f>#REF!</f>
        <v>#REF!</v>
      </c>
      <c r="AD39" s="36" t="e">
        <f>#REF!</f>
        <v>#REF!</v>
      </c>
      <c r="AE39" s="2"/>
      <c r="AF39" s="2"/>
      <c r="AG39" s="2"/>
      <c r="AH39" s="2"/>
      <c r="AI39" s="2"/>
      <c r="AJ39" s="2"/>
      <c r="AK39" s="2"/>
    </row>
    <row r="40" spans="1:37" ht="15.75" customHeight="1">
      <c r="A40" s="2"/>
      <c r="B40" s="24" t="s">
        <v>148</v>
      </c>
      <c r="C40" s="35">
        <v>41193884</v>
      </c>
      <c r="D40" s="35">
        <v>6.7</v>
      </c>
      <c r="E40" s="35">
        <v>71</v>
      </c>
      <c r="F40" s="35">
        <v>67</v>
      </c>
      <c r="G40" s="35">
        <v>63</v>
      </c>
      <c r="H40" s="35">
        <v>31.678999999999998</v>
      </c>
      <c r="I40" s="35">
        <v>67.906000000000006</v>
      </c>
      <c r="J40" s="35">
        <v>52.84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2"/>
      <c r="AF40" s="2"/>
      <c r="AG40" s="2"/>
      <c r="AH40" s="2"/>
      <c r="AI40" s="2"/>
      <c r="AJ40" s="2"/>
      <c r="AK40" s="2"/>
    </row>
    <row r="41" spans="1:37" ht="15.75" customHeight="1">
      <c r="A41" s="2"/>
      <c r="B41" s="52" t="s">
        <v>149</v>
      </c>
      <c r="C41" s="35">
        <v>4184874</v>
      </c>
      <c r="D41" s="35"/>
      <c r="E41" s="35"/>
      <c r="F41" s="35"/>
      <c r="G41" s="35">
        <v>37.198999999999998</v>
      </c>
      <c r="H41" s="35">
        <v>1.145</v>
      </c>
      <c r="I41" s="35">
        <v>2.0529999999999999</v>
      </c>
      <c r="J41" s="35">
        <v>0.152</v>
      </c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 t="e">
        <f>#REF!</f>
        <v>#REF!</v>
      </c>
      <c r="AA41" s="36" t="e">
        <f>#REF!</f>
        <v>#REF!</v>
      </c>
      <c r="AB41" s="36" t="e">
        <f>#REF!</f>
        <v>#REF!</v>
      </c>
      <c r="AC41" s="36" t="e">
        <f>#REF!</f>
        <v>#REF!</v>
      </c>
      <c r="AD41" s="36" t="e">
        <f>#REF!</f>
        <v>#REF!</v>
      </c>
      <c r="AE41" s="2"/>
      <c r="AF41" s="2"/>
      <c r="AG41" s="2"/>
      <c r="AH41" s="2"/>
      <c r="AI41" s="2"/>
      <c r="AJ41" s="2"/>
      <c r="AK41" s="2"/>
    </row>
    <row r="42" spans="1:37" ht="15.75" customHeight="1">
      <c r="A42" s="2"/>
      <c r="B42" s="24" t="s">
        <v>150</v>
      </c>
      <c r="C42" s="35"/>
      <c r="D42" s="35">
        <v>13.557</v>
      </c>
      <c r="E42" s="35">
        <v>13.925000000000001</v>
      </c>
      <c r="F42" s="35">
        <v>13.305999999999999</v>
      </c>
      <c r="G42" s="35">
        <v>7.4889999999999999</v>
      </c>
      <c r="H42" s="35">
        <v>0</v>
      </c>
      <c r="I42" s="35">
        <v>0</v>
      </c>
      <c r="J42" s="35">
        <v>28.283000000000001</v>
      </c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>
        <f t="shared" ref="Z42:AD42" si="11">Y42</f>
        <v>0</v>
      </c>
      <c r="AA42" s="36">
        <f t="shared" si="11"/>
        <v>0</v>
      </c>
      <c r="AB42" s="36">
        <f t="shared" si="11"/>
        <v>0</v>
      </c>
      <c r="AC42" s="36">
        <f t="shared" si="11"/>
        <v>0</v>
      </c>
      <c r="AD42" s="36">
        <f t="shared" si="11"/>
        <v>0</v>
      </c>
      <c r="AE42" s="2"/>
      <c r="AF42" s="2"/>
      <c r="AG42" s="2"/>
      <c r="AH42" s="2"/>
      <c r="AI42" s="2"/>
      <c r="AJ42" s="2"/>
      <c r="AK42" s="2"/>
    </row>
    <row r="43" spans="1:37" ht="15.75" customHeight="1">
      <c r="A43" s="2"/>
      <c r="B43" s="24" t="s">
        <v>99</v>
      </c>
      <c r="C43" s="35">
        <v>4620133</v>
      </c>
      <c r="D43" s="35"/>
      <c r="E43" s="35"/>
      <c r="F43" s="35"/>
      <c r="G43" s="35">
        <v>11.21</v>
      </c>
      <c r="H43" s="35">
        <v>3.6640000000000001</v>
      </c>
      <c r="I43" s="35">
        <v>3.403</v>
      </c>
      <c r="J43" s="35">
        <v>0.66800000000000004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>
        <f t="shared" ref="Z43:AD43" si="12">Y43</f>
        <v>0</v>
      </c>
      <c r="AA43" s="36">
        <f t="shared" si="12"/>
        <v>0</v>
      </c>
      <c r="AB43" s="36">
        <f t="shared" si="12"/>
        <v>0</v>
      </c>
      <c r="AC43" s="36">
        <f t="shared" si="12"/>
        <v>0</v>
      </c>
      <c r="AD43" s="36">
        <f t="shared" si="12"/>
        <v>0</v>
      </c>
      <c r="AE43" s="2"/>
      <c r="AF43" s="2"/>
      <c r="AG43" s="2"/>
      <c r="AH43" s="2"/>
      <c r="AI43" s="2"/>
      <c r="AJ43" s="2"/>
      <c r="AK43" s="2"/>
    </row>
    <row r="44" spans="1:37" ht="15.75" customHeight="1">
      <c r="A44" s="2"/>
      <c r="B44" s="9" t="s">
        <v>151</v>
      </c>
      <c r="C44" s="10"/>
      <c r="D44" s="10">
        <f t="shared" ref="D44:AD44" si="13">SUM(D38:D43)</f>
        <v>30.296999999999997</v>
      </c>
      <c r="E44" s="10">
        <f t="shared" si="13"/>
        <v>94.310999999999993</v>
      </c>
      <c r="F44" s="10">
        <f t="shared" si="13"/>
        <v>88.125999999999991</v>
      </c>
      <c r="G44" s="10">
        <f t="shared" si="13"/>
        <v>126.35300000000001</v>
      </c>
      <c r="H44" s="10">
        <v>0</v>
      </c>
      <c r="I44" s="10">
        <v>1.113</v>
      </c>
      <c r="J44" s="10">
        <v>0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 t="e">
        <f t="shared" si="13"/>
        <v>#REF!</v>
      </c>
      <c r="AA44" s="11" t="e">
        <f t="shared" si="13"/>
        <v>#REF!</v>
      </c>
      <c r="AB44" s="11" t="e">
        <f t="shared" si="13"/>
        <v>#REF!</v>
      </c>
      <c r="AC44" s="11" t="e">
        <f t="shared" si="13"/>
        <v>#REF!</v>
      </c>
      <c r="AD44" s="11" t="e">
        <f t="shared" si="13"/>
        <v>#REF!</v>
      </c>
      <c r="AE44" s="2"/>
      <c r="AF44" s="2"/>
      <c r="AG44" s="2"/>
      <c r="AH44" s="2"/>
      <c r="AI44" s="2"/>
      <c r="AJ44" s="2"/>
      <c r="AK44" s="2"/>
    </row>
    <row r="45" spans="1:37" ht="15.75" customHeight="1">
      <c r="A45" s="2"/>
      <c r="B45" s="27" t="s">
        <v>152</v>
      </c>
      <c r="C45" s="39"/>
      <c r="D45" s="39">
        <f t="shared" ref="D45:G45" si="14">D35+D44</f>
        <v>69.996000000000009</v>
      </c>
      <c r="E45" s="39">
        <f t="shared" si="14"/>
        <v>138.81399999999999</v>
      </c>
      <c r="F45" s="39">
        <f t="shared" si="14"/>
        <v>163.39599999999999</v>
      </c>
      <c r="G45" s="39">
        <f t="shared" si="14"/>
        <v>202.14800000000002</v>
      </c>
      <c r="H45" s="39">
        <v>1.1859999999999999</v>
      </c>
      <c r="I45" s="39">
        <v>4.1310000000000002</v>
      </c>
      <c r="J45" s="39">
        <v>4.6559999999999997</v>
      </c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e">
        <f t="shared" ref="Z45:AD45" si="15">SUM(Z44,Z35)</f>
        <v>#REF!</v>
      </c>
      <c r="AA45" s="36" t="e">
        <f t="shared" si="15"/>
        <v>#REF!</v>
      </c>
      <c r="AB45" s="36" t="e">
        <f t="shared" si="15"/>
        <v>#REF!</v>
      </c>
      <c r="AC45" s="36" t="e">
        <f t="shared" si="15"/>
        <v>#REF!</v>
      </c>
      <c r="AD45" s="36" t="e">
        <f t="shared" si="15"/>
        <v>#REF!</v>
      </c>
      <c r="AE45" s="2"/>
      <c r="AF45" s="2"/>
      <c r="AG45" s="2"/>
      <c r="AH45" s="2"/>
      <c r="AI45" s="2"/>
      <c r="AJ45" s="2"/>
      <c r="AK45" s="2"/>
    </row>
    <row r="46" spans="1:37" ht="15.75" customHeight="1">
      <c r="A46" s="2"/>
      <c r="B46" s="27" t="s">
        <v>153</v>
      </c>
      <c r="C46" s="39">
        <v>49998891</v>
      </c>
      <c r="D46" s="39"/>
      <c r="E46" s="39"/>
      <c r="F46" s="39"/>
      <c r="G46" s="39"/>
      <c r="H46" s="39">
        <v>37.673999999999999</v>
      </c>
      <c r="I46" s="39">
        <v>78.605999999999995</v>
      </c>
      <c r="J46" s="39">
        <v>86.599000000000004</v>
      </c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2"/>
      <c r="AF46" s="2"/>
      <c r="AG46" s="2"/>
      <c r="AH46" s="2"/>
      <c r="AI46" s="2"/>
      <c r="AJ46" s="2"/>
      <c r="AK46" s="2"/>
    </row>
    <row r="47" spans="1:37" ht="15.75" customHeight="1">
      <c r="A47" s="2"/>
      <c r="B47" s="27" t="s">
        <v>154</v>
      </c>
      <c r="C47" s="39"/>
      <c r="D47" s="39">
        <f t="shared" ref="D47:AD47" si="16">SUM(D11,D12,D14)-SUM(D28,D29,D30,D31,D32,D34)</f>
        <v>9.850999999999992</v>
      </c>
      <c r="E47" s="39">
        <f t="shared" si="16"/>
        <v>23.103999999999999</v>
      </c>
      <c r="F47" s="39">
        <f t="shared" si="16"/>
        <v>6.7319999999999993</v>
      </c>
      <c r="G47" s="39">
        <f t="shared" si="16"/>
        <v>48.25</v>
      </c>
      <c r="H47" s="39">
        <v>0</v>
      </c>
      <c r="I47" s="39">
        <v>0</v>
      </c>
      <c r="J47" s="39">
        <v>0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e">
        <f t="shared" si="16"/>
        <v>#REF!</v>
      </c>
      <c r="AA47" s="36" t="e">
        <f t="shared" si="16"/>
        <v>#REF!</v>
      </c>
      <c r="AB47" s="36" t="e">
        <f t="shared" si="16"/>
        <v>#REF!</v>
      </c>
      <c r="AC47" s="36" t="e">
        <f t="shared" si="16"/>
        <v>#REF!</v>
      </c>
      <c r="AD47" s="36" t="e">
        <f t="shared" si="16"/>
        <v>#REF!</v>
      </c>
      <c r="AE47" s="2"/>
      <c r="AF47" s="2"/>
      <c r="AG47" s="2"/>
      <c r="AH47" s="2"/>
      <c r="AI47" s="2"/>
      <c r="AJ47" s="2"/>
      <c r="AK47" s="2"/>
    </row>
    <row r="48" spans="1:37" ht="15.75" customHeight="1">
      <c r="A48" s="2"/>
      <c r="B48" s="38" t="s">
        <v>155</v>
      </c>
      <c r="C48" s="35"/>
      <c r="D48" s="35"/>
      <c r="E48" s="35"/>
      <c r="F48" s="35"/>
      <c r="G48" s="35"/>
      <c r="H48" s="35">
        <v>0</v>
      </c>
      <c r="I48" s="35">
        <v>0</v>
      </c>
      <c r="J48" s="35">
        <v>0</v>
      </c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2"/>
      <c r="AF48" s="2"/>
      <c r="AG48" s="2"/>
      <c r="AH48" s="2"/>
      <c r="AI48" s="2"/>
      <c r="AJ48" s="2"/>
      <c r="AK48" s="2"/>
    </row>
    <row r="49" spans="1:37" ht="15.75" customHeight="1">
      <c r="A49" s="2"/>
      <c r="B49" s="53" t="s">
        <v>156</v>
      </c>
      <c r="C49" s="35">
        <v>529</v>
      </c>
      <c r="D49" s="35"/>
      <c r="E49" s="35"/>
      <c r="F49" s="35"/>
      <c r="G49" s="35"/>
      <c r="H49" s="35">
        <v>4.0000000000000001E-3</v>
      </c>
      <c r="I49" s="35">
        <v>5.0000000000000001E-3</v>
      </c>
      <c r="J49" s="35">
        <v>5.0000000000000001E-3</v>
      </c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2"/>
      <c r="AF49" s="2"/>
      <c r="AG49" s="2"/>
      <c r="AH49" s="2"/>
      <c r="AI49" s="2"/>
      <c r="AJ49" s="2"/>
      <c r="AK49" s="2"/>
    </row>
    <row r="50" spans="1:37" ht="15.75" customHeight="1">
      <c r="A50" s="2"/>
      <c r="B50" s="24" t="s">
        <v>157</v>
      </c>
      <c r="C50" s="35">
        <v>243220709</v>
      </c>
      <c r="D50" s="35">
        <v>0.46100000000000002</v>
      </c>
      <c r="E50" s="35">
        <v>0.47199999999999998</v>
      </c>
      <c r="F50" s="35">
        <v>0.48099999999999998</v>
      </c>
      <c r="G50" s="35">
        <v>0.48699999999999999</v>
      </c>
      <c r="H50" s="35">
        <v>292.59300000000002</v>
      </c>
      <c r="I50" s="35">
        <v>313.90100000000001</v>
      </c>
      <c r="J50" s="35">
        <v>306.14100000000002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>
        <f t="shared" ref="Z50:AD50" si="17">Y50</f>
        <v>0</v>
      </c>
      <c r="AA50" s="36">
        <f t="shared" si="17"/>
        <v>0</v>
      </c>
      <c r="AB50" s="36">
        <f t="shared" si="17"/>
        <v>0</v>
      </c>
      <c r="AC50" s="36">
        <f t="shared" si="17"/>
        <v>0</v>
      </c>
      <c r="AD50" s="36">
        <f t="shared" si="17"/>
        <v>0</v>
      </c>
      <c r="AE50" s="2"/>
      <c r="AF50" s="2"/>
      <c r="AG50" s="2"/>
      <c r="AH50" s="2"/>
      <c r="AI50" s="2"/>
      <c r="AJ50" s="2"/>
      <c r="AK50" s="2"/>
    </row>
    <row r="51" spans="1:37" ht="15.75" customHeight="1">
      <c r="A51" s="2"/>
      <c r="B51" s="24" t="s">
        <v>158</v>
      </c>
      <c r="C51" s="35">
        <v>50764127</v>
      </c>
      <c r="D51" s="35">
        <v>308.697</v>
      </c>
      <c r="E51" s="35">
        <v>321.03199999999998</v>
      </c>
      <c r="F51" s="35">
        <v>341.13900000000001</v>
      </c>
      <c r="G51" s="35">
        <v>365.62700000000001</v>
      </c>
      <c r="H51" s="35">
        <v>58.857999999999997</v>
      </c>
      <c r="I51" s="35">
        <v>94.972999999999999</v>
      </c>
      <c r="J51" s="35">
        <v>138.834</v>
      </c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>
        <f t="shared" ref="Z51:AD51" si="18">Y51</f>
        <v>0</v>
      </c>
      <c r="AA51" s="36">
        <f t="shared" si="18"/>
        <v>0</v>
      </c>
      <c r="AB51" s="36">
        <f t="shared" si="18"/>
        <v>0</v>
      </c>
      <c r="AC51" s="36">
        <f t="shared" si="18"/>
        <v>0</v>
      </c>
      <c r="AD51" s="36">
        <f t="shared" si="18"/>
        <v>0</v>
      </c>
      <c r="AE51" s="2"/>
      <c r="AF51" s="2"/>
      <c r="AG51" s="2"/>
      <c r="AH51" s="2"/>
      <c r="AI51" s="2"/>
      <c r="AJ51" s="2"/>
      <c r="AK51" s="2"/>
    </row>
    <row r="52" spans="1:37" ht="15.75" customHeight="1">
      <c r="A52" s="2"/>
      <c r="B52" s="24" t="s">
        <v>159</v>
      </c>
      <c r="C52" s="35"/>
      <c r="D52" s="35">
        <v>0</v>
      </c>
      <c r="E52" s="35"/>
      <c r="F52" s="35"/>
      <c r="G52" s="35"/>
      <c r="H52" s="35">
        <v>351.45499999999998</v>
      </c>
      <c r="I52" s="35">
        <v>408.87900000000002</v>
      </c>
      <c r="J52" s="35">
        <v>444.98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>
        <f t="shared" ref="Z52:AD52" si="19">Y52</f>
        <v>0</v>
      </c>
      <c r="AA52" s="36">
        <f t="shared" si="19"/>
        <v>0</v>
      </c>
      <c r="AB52" s="36">
        <f t="shared" si="19"/>
        <v>0</v>
      </c>
      <c r="AC52" s="36">
        <f t="shared" si="19"/>
        <v>0</v>
      </c>
      <c r="AD52" s="36">
        <f t="shared" si="19"/>
        <v>0</v>
      </c>
      <c r="AE52" s="2"/>
      <c r="AF52" s="2"/>
      <c r="AG52" s="2"/>
      <c r="AH52" s="2"/>
      <c r="AI52" s="2"/>
      <c r="AJ52" s="2"/>
      <c r="AK52" s="2"/>
    </row>
    <row r="53" spans="1:37" ht="15.75" customHeight="1">
      <c r="A53" s="2"/>
      <c r="B53" s="24" t="s">
        <v>160</v>
      </c>
      <c r="C53" s="35">
        <v>293985365</v>
      </c>
      <c r="D53" s="35">
        <v>-117.90900000000001</v>
      </c>
      <c r="E53" s="35">
        <v>-88.677000000000007</v>
      </c>
      <c r="F53" s="35">
        <v>-64.031000000000006</v>
      </c>
      <c r="G53" s="35">
        <v>-10.462999999999999</v>
      </c>
      <c r="H53" s="35">
        <v>0</v>
      </c>
      <c r="I53" s="35">
        <v>0</v>
      </c>
      <c r="J53" s="35">
        <v>0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e">
        <f>Y53+CFS!#REF!-CFS!#REF!+CFS!#REF!</f>
        <v>#REF!</v>
      </c>
      <c r="AA53" s="36" t="e">
        <f>Z53+CFS!#REF!-CFS!#REF!+CFS!#REF!</f>
        <v>#REF!</v>
      </c>
      <c r="AB53" s="36" t="e">
        <f>AA53+CFS!#REF!-CFS!#REF!+CFS!#REF!</f>
        <v>#REF!</v>
      </c>
      <c r="AC53" s="36" t="e">
        <f>AB53+CFS!#REF!-CFS!#REF!+CFS!#REF!</f>
        <v>#REF!</v>
      </c>
      <c r="AD53" s="36" t="e">
        <f>AC53+CFS!#REF!-CFS!#REF!+CFS!#REF!</f>
        <v>#REF!</v>
      </c>
      <c r="AE53" s="2"/>
      <c r="AF53" s="2"/>
      <c r="AG53" s="2"/>
      <c r="AH53" s="2"/>
      <c r="AI53" s="2"/>
      <c r="AJ53" s="2"/>
      <c r="AK53" s="2"/>
    </row>
    <row r="54" spans="1:37" ht="15.75" customHeight="1">
      <c r="A54" s="2"/>
      <c r="B54" s="9" t="s">
        <v>161</v>
      </c>
      <c r="C54" s="10">
        <v>343984256</v>
      </c>
      <c r="D54" s="10">
        <f t="shared" ref="D54:AD54" si="20">SUM(D50:D53)</f>
        <v>191.24900000000002</v>
      </c>
      <c r="E54" s="10">
        <f t="shared" si="20"/>
        <v>232.82699999999994</v>
      </c>
      <c r="F54" s="10">
        <f t="shared" si="20"/>
        <v>277.589</v>
      </c>
      <c r="G54" s="10">
        <f t="shared" si="20"/>
        <v>355.65100000000001</v>
      </c>
      <c r="H54" s="10">
        <v>389.12900000000002</v>
      </c>
      <c r="I54" s="10">
        <v>487.48500000000001</v>
      </c>
      <c r="J54" s="10">
        <v>531.57899999999995</v>
      </c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 t="e">
        <f t="shared" si="20"/>
        <v>#REF!</v>
      </c>
      <c r="AA54" s="11" t="e">
        <f t="shared" si="20"/>
        <v>#REF!</v>
      </c>
      <c r="AB54" s="11" t="e">
        <f t="shared" si="20"/>
        <v>#REF!</v>
      </c>
      <c r="AC54" s="11" t="e">
        <f t="shared" si="20"/>
        <v>#REF!</v>
      </c>
      <c r="AD54" s="11" t="e">
        <f t="shared" si="20"/>
        <v>#REF!</v>
      </c>
      <c r="AE54" s="2"/>
      <c r="AF54" s="2"/>
      <c r="AG54" s="2"/>
      <c r="AH54" s="2"/>
      <c r="AI54" s="2"/>
      <c r="AJ54" s="2"/>
      <c r="AK54" s="2"/>
    </row>
    <row r="55" spans="1:3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ht="15.75" customHeight="1">
      <c r="A56" s="2"/>
      <c r="B56" s="2" t="s">
        <v>162</v>
      </c>
      <c r="C56" s="19" t="e">
        <f>C25-#REF!</f>
        <v>#REF!</v>
      </c>
      <c r="D56" s="19" t="e">
        <f>D25-#REF!</f>
        <v>#REF!</v>
      </c>
      <c r="E56" s="19" t="e">
        <f>E25-#REF!</f>
        <v>#REF!</v>
      </c>
      <c r="F56" s="19" t="e">
        <f>F25-#REF!</f>
        <v>#REF!</v>
      </c>
      <c r="G56" s="19" t="e">
        <f>G25-#REF!</f>
        <v>#REF!</v>
      </c>
      <c r="H56" s="6">
        <f>H31-H54</f>
        <v>0</v>
      </c>
      <c r="I56" s="6">
        <f t="shared" ref="I56:J56" si="21">I31-I54</f>
        <v>0</v>
      </c>
      <c r="J56" s="6">
        <f t="shared" si="21"/>
        <v>0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 t="e">
        <f>Z25-#REF!</f>
        <v>#REF!</v>
      </c>
      <c r="AA56" s="19" t="e">
        <f>AA25-#REF!</f>
        <v>#REF!</v>
      </c>
      <c r="AB56" s="19" t="e">
        <f>AB25-#REF!</f>
        <v>#REF!</v>
      </c>
      <c r="AC56" s="19" t="e">
        <f>AC25-#REF!</f>
        <v>#REF!</v>
      </c>
      <c r="AD56" s="19" t="e">
        <f>AD25-#REF!</f>
        <v>#REF!</v>
      </c>
      <c r="AE56" s="2"/>
      <c r="AF56" s="2"/>
      <c r="AG56" s="2"/>
      <c r="AH56" s="2"/>
      <c r="AI56" s="2"/>
      <c r="AJ56" s="2"/>
      <c r="AK56" s="2"/>
    </row>
    <row r="57" spans="1:37" ht="15.75" customHeight="1">
      <c r="A57" s="2"/>
      <c r="B57" s="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2"/>
      <c r="AF57" s="2"/>
      <c r="AG57" s="2"/>
      <c r="AH57" s="2"/>
      <c r="AI57" s="2"/>
      <c r="AJ57" s="2"/>
      <c r="AK57" s="2"/>
    </row>
    <row r="58" spans="1:37" ht="15.75" customHeight="1">
      <c r="A58" s="2"/>
      <c r="B58" s="1" t="s">
        <v>163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2"/>
      <c r="AF58" s="2"/>
      <c r="AG58" s="2"/>
      <c r="AH58" s="2"/>
      <c r="AI58" s="2"/>
      <c r="AJ58" s="2"/>
      <c r="AK58" s="2"/>
    </row>
    <row r="59" spans="1:37" ht="15.75" customHeight="1">
      <c r="A59" s="2"/>
      <c r="B59" s="2" t="s">
        <v>164</v>
      </c>
      <c r="C59" s="17">
        <f>C34/IS!C16</f>
        <v>46096.874880318639</v>
      </c>
      <c r="D59" s="17">
        <f>D34/IS!D16</f>
        <v>1.8050140555942795E-2</v>
      </c>
      <c r="E59" s="17">
        <f>E34/IS!E16</f>
        <v>2.2939366312913611E-2</v>
      </c>
      <c r="F59" s="17">
        <f>F34/IS!F16</f>
        <v>8.7016699405936832E-3</v>
      </c>
      <c r="G59" s="17">
        <f>G34/IS!G16</f>
        <v>1.1459840792415046E-2</v>
      </c>
      <c r="H59" s="17">
        <f>H34/IS!H16</f>
        <v>4.104566905014885E-2</v>
      </c>
      <c r="I59" s="17">
        <f>I34/IS!I16</f>
        <v>2.4744666414050175E-2</v>
      </c>
      <c r="J59" s="17">
        <f>J34/IS!J16</f>
        <v>2.1645159395316051E-2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 t="e">
        <f>Z34/IS!#REF!</f>
        <v>#REF!</v>
      </c>
      <c r="AA59" s="17" t="e">
        <f>AA34/IS!#REF!</f>
        <v>#REF!</v>
      </c>
      <c r="AB59" s="17" t="e">
        <f>AB34/IS!#REF!</f>
        <v>#REF!</v>
      </c>
      <c r="AC59" s="17" t="e">
        <f>AC34/IS!#REF!</f>
        <v>#REF!</v>
      </c>
      <c r="AD59" s="17" t="e">
        <f>AD34/IS!#REF!</f>
        <v>#REF!</v>
      </c>
      <c r="AE59" s="2"/>
      <c r="AF59" s="2"/>
      <c r="AG59" s="2"/>
      <c r="AH59" s="2"/>
      <c r="AI59" s="2"/>
      <c r="AJ59" s="2"/>
      <c r="AK59" s="2"/>
    </row>
    <row r="60" spans="1:3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spans="1:3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spans="1:3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spans="1:3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spans="1:3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spans="1:3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spans="1:3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spans="1:37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spans="1:37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spans="1:37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spans="1:37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 spans="1:3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 spans="1:37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 spans="1:37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</sheetData>
  <phoneticPr fontId="65" type="noConversion"/>
  <pageMargins left="0.7" right="0.7" top="0.75" bottom="0.75" header="0" footer="0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1:A1000"/>
  <sheetViews>
    <sheetView workbookViewId="0"/>
  </sheetViews>
  <sheetFormatPr baseColWidth="10" defaultColWidth="14.5" defaultRowHeight="15" customHeight="1"/>
  <cols>
    <col min="1" max="26" width="8.832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65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21:A1000"/>
  <sheetViews>
    <sheetView workbookViewId="0">
      <selection activeCell="C20" sqref="C20"/>
    </sheetView>
  </sheetViews>
  <sheetFormatPr baseColWidth="10" defaultColWidth="14.5" defaultRowHeight="15" customHeight="1"/>
  <cols>
    <col min="1" max="26" width="11.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65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9"/>
  <sheetViews>
    <sheetView showGridLines="0" zoomScale="113" zoomScaleNormal="75" workbookViewId="0">
      <selection activeCell="J19" sqref="J19"/>
    </sheetView>
  </sheetViews>
  <sheetFormatPr baseColWidth="10" defaultColWidth="11.5" defaultRowHeight="15" customHeight="1"/>
  <cols>
    <col min="1" max="1" width="2.6640625" style="94" customWidth="1"/>
    <col min="2" max="2" width="27.1640625" style="70" customWidth="1"/>
    <col min="3" max="7" width="0" style="70" hidden="1" customWidth="1"/>
    <col min="8" max="8" width="17.83203125" style="70" bestFit="1" customWidth="1"/>
    <col min="9" max="9" width="11.5" style="70" bestFit="1" customWidth="1"/>
    <col min="10" max="10" width="12.5" style="70" bestFit="1" customWidth="1"/>
    <col min="11" max="13" width="13.5" style="70" bestFit="1" customWidth="1"/>
    <col min="14" max="15" width="14.83203125" style="70" bestFit="1" customWidth="1"/>
    <col min="16" max="16384" width="11.5" style="70"/>
  </cols>
  <sheetData>
    <row r="1" spans="1:15" s="94" customFormat="1" ht="22.25" customHeight="1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">
      <c r="A2" s="92"/>
      <c r="B2" s="72" t="s">
        <v>51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 ht="14">
      <c r="A3" s="92"/>
      <c r="B3" s="83" t="s">
        <v>2</v>
      </c>
    </row>
    <row r="4" spans="1:15" ht="14">
      <c r="A4" s="92"/>
      <c r="B4" s="83"/>
    </row>
    <row r="5" spans="1:15" ht="14">
      <c r="A5" s="92"/>
      <c r="B5" s="83" t="s">
        <v>4</v>
      </c>
      <c r="C5" s="179">
        <f>2015</f>
        <v>2015</v>
      </c>
      <c r="D5" s="179">
        <f>C5+1</f>
        <v>2016</v>
      </c>
      <c r="E5" s="179">
        <f t="shared" ref="E5:O5" si="0">D5+1</f>
        <v>2017</v>
      </c>
      <c r="F5" s="179">
        <f t="shared" si="0"/>
        <v>2018</v>
      </c>
      <c r="G5" s="179">
        <f t="shared" si="0"/>
        <v>2019</v>
      </c>
      <c r="H5" s="179">
        <f>G5+3</f>
        <v>2022</v>
      </c>
      <c r="I5" s="179">
        <f t="shared" si="0"/>
        <v>2023</v>
      </c>
      <c r="J5" s="180">
        <f t="shared" si="0"/>
        <v>2024</v>
      </c>
      <c r="K5" s="181">
        <f t="shared" si="0"/>
        <v>2025</v>
      </c>
      <c r="L5" s="181">
        <f t="shared" si="0"/>
        <v>2026</v>
      </c>
      <c r="M5" s="181">
        <f t="shared" si="0"/>
        <v>2027</v>
      </c>
      <c r="N5" s="181">
        <f t="shared" si="0"/>
        <v>2028</v>
      </c>
      <c r="O5" s="181">
        <f t="shared" si="0"/>
        <v>2029</v>
      </c>
    </row>
    <row r="6" spans="1:15" ht="14">
      <c r="A6" s="92"/>
      <c r="B6" s="70" t="s">
        <v>52</v>
      </c>
      <c r="H6" s="182">
        <f>'Costs &amp; Expenses Build'!C15-'Costs &amp; Expenses Build'!C23-'Costs &amp; Expenses Build'!C49</f>
        <v>427.50199999999973</v>
      </c>
      <c r="I6" s="183">
        <f>'Costs &amp; Expenses Build'!D15-'Costs &amp; Expenses Build'!D23-'Costs &amp; Expenses Build'!D49</f>
        <v>541.39099999999974</v>
      </c>
      <c r="J6" s="183">
        <f>'Costs &amp; Expenses Build'!E15-'Costs &amp; Expenses Build'!E23-'Costs &amp; Expenses Build'!E49</f>
        <v>739.72599999999943</v>
      </c>
      <c r="K6" s="184">
        <f>'Costs &amp; Expenses Build'!F15-'Costs &amp; Expenses Build'!F23-'Costs &amp; Expenses Build'!F49</f>
        <v>1013.981906950333</v>
      </c>
      <c r="L6" s="183">
        <f>'Costs &amp; Expenses Build'!G15-'Costs &amp; Expenses Build'!G23-'Costs &amp; Expenses Build'!G49</f>
        <v>1099.5206069654321</v>
      </c>
      <c r="M6" s="183">
        <f>'Costs &amp; Expenses Build'!H15-'Costs &amp; Expenses Build'!H23-'Costs &amp; Expenses Build'!H49</f>
        <v>1190.0844959794961</v>
      </c>
      <c r="N6" s="183">
        <f>'Costs &amp; Expenses Build'!I15-'Costs &amp; Expenses Build'!I23-'Costs &amp; Expenses Build'!I49</f>
        <v>1281.5559698142702</v>
      </c>
      <c r="O6" s="183">
        <f>'Costs &amp; Expenses Build'!J15-'Costs &amp; Expenses Build'!J23-'Costs &amp; Expenses Build'!J49</f>
        <v>1385.4731068704828</v>
      </c>
    </row>
    <row r="7" spans="1:15" ht="14">
      <c r="A7" s="92"/>
      <c r="B7" s="70" t="s">
        <v>53</v>
      </c>
      <c r="H7" s="182">
        <f>H6*20%</f>
        <v>85.500399999999956</v>
      </c>
      <c r="I7" s="182">
        <f t="shared" ref="I7:O7" si="1">I6*20%</f>
        <v>108.27819999999996</v>
      </c>
      <c r="J7" s="182">
        <f t="shared" si="1"/>
        <v>147.94519999999989</v>
      </c>
      <c r="K7" s="185">
        <f t="shared" si="1"/>
        <v>202.79638139006661</v>
      </c>
      <c r="L7" s="182">
        <f t="shared" si="1"/>
        <v>219.90412139308643</v>
      </c>
      <c r="M7" s="182">
        <f t="shared" si="1"/>
        <v>238.01689919589921</v>
      </c>
      <c r="N7" s="182">
        <f t="shared" si="1"/>
        <v>256.31119396285402</v>
      </c>
      <c r="O7" s="182">
        <f t="shared" si="1"/>
        <v>277.09462137409656</v>
      </c>
    </row>
    <row r="8" spans="1:15" ht="14">
      <c r="A8" s="92"/>
      <c r="B8" s="70" t="s">
        <v>54</v>
      </c>
      <c r="C8" s="186"/>
      <c r="D8" s="186"/>
      <c r="E8" s="186"/>
      <c r="F8" s="186"/>
      <c r="G8" s="186"/>
      <c r="H8" s="183">
        <f>H6-H7</f>
        <v>342.00159999999977</v>
      </c>
      <c r="I8" s="183">
        <f t="shared" ref="I8:O8" si="2">I6-I7</f>
        <v>433.11279999999977</v>
      </c>
      <c r="J8" s="187">
        <f t="shared" si="2"/>
        <v>591.78079999999954</v>
      </c>
      <c r="K8" s="188">
        <f t="shared" si="2"/>
        <v>811.18552556026646</v>
      </c>
      <c r="L8" s="189">
        <f t="shared" si="2"/>
        <v>879.61648557234571</v>
      </c>
      <c r="M8" s="189">
        <f t="shared" si="2"/>
        <v>952.06759678359685</v>
      </c>
      <c r="N8" s="189">
        <f t="shared" si="2"/>
        <v>1025.2447758514161</v>
      </c>
      <c r="O8" s="189">
        <f t="shared" si="2"/>
        <v>1108.3784854963862</v>
      </c>
    </row>
    <row r="9" spans="1:15" ht="14">
      <c r="A9" s="92"/>
      <c r="B9" s="190" t="s">
        <v>55</v>
      </c>
      <c r="C9" s="186"/>
      <c r="D9" s="186"/>
      <c r="E9" s="186"/>
      <c r="F9" s="186"/>
      <c r="G9" s="186"/>
      <c r="H9" s="183">
        <f>'Costs &amp; Expenses Build'!C73</f>
        <v>130.04300000000001</v>
      </c>
      <c r="I9" s="183">
        <f>'Costs &amp; Expenses Build'!D73</f>
        <v>175.33099999999999</v>
      </c>
      <c r="J9" s="187">
        <f>'Costs &amp; Expenses Build'!E73</f>
        <v>182.3355</v>
      </c>
      <c r="K9" s="188">
        <f>'Costs &amp; Expenses Build'!F73</f>
        <v>216.1389314356004</v>
      </c>
      <c r="L9" s="189">
        <f>'Costs &amp; Expenses Build'!G73</f>
        <v>159.72793648784736</v>
      </c>
      <c r="M9" s="189">
        <f>'Costs &amp; Expenses Build'!H73</f>
        <v>129.0445383816583</v>
      </c>
      <c r="N9" s="189">
        <f>'Costs &amp; Expenses Build'!I73</f>
        <v>112.34798947230421</v>
      </c>
      <c r="O9" s="189">
        <f>'Costs &amp; Expenses Build'!J73</f>
        <v>102.92407792437561</v>
      </c>
    </row>
    <row r="10" spans="1:15" ht="14">
      <c r="A10" s="92"/>
      <c r="B10" s="190" t="s">
        <v>56</v>
      </c>
      <c r="C10" s="186"/>
      <c r="D10" s="186"/>
      <c r="E10" s="186"/>
      <c r="F10" s="186"/>
      <c r="G10" s="186"/>
      <c r="H10" s="183"/>
      <c r="I10" s="183">
        <f>'Costs &amp; Expenses Build'!D57-'Costs &amp; Expenses Build'!C57</f>
        <v>504.42000000000019</v>
      </c>
      <c r="J10" s="187">
        <f>'Costs &amp; Expenses Build'!E57-'Costs &amp; Expenses Build'!D57</f>
        <v>149.81999999999994</v>
      </c>
      <c r="K10" s="188">
        <f>('Costs &amp; Expenses Build'!F57-'Costs &amp; Expenses Build'!E57)</f>
        <v>104.03605045750487</v>
      </c>
      <c r="L10" s="189">
        <f>('Costs &amp; Expenses Build'!G57-'Costs &amp; Expenses Build'!F57)</f>
        <v>78.701118512755784</v>
      </c>
      <c r="M10" s="189">
        <f>('Costs &amp; Expenses Build'!H57-'Costs &amp; Expenses Build'!G57)</f>
        <v>58.39487922676426</v>
      </c>
      <c r="N10" s="189">
        <f>('Costs &amp; Expenses Build'!I57-'Costs &amp; Expenses Build'!H57)</f>
        <v>49.341002535668622</v>
      </c>
      <c r="O10" s="189">
        <f>('Costs &amp; Expenses Build'!J57-'Costs &amp; Expenses Build'!I57)</f>
        <v>26.291714385209843</v>
      </c>
    </row>
    <row r="11" spans="1:15" ht="14">
      <c r="A11" s="92"/>
      <c r="B11" s="190" t="s">
        <v>57</v>
      </c>
      <c r="C11" s="186"/>
      <c r="D11" s="186"/>
      <c r="E11" s="186"/>
      <c r="F11" s="186"/>
      <c r="G11" s="186"/>
      <c r="H11" s="183">
        <f>'Costs &amp; Expenses Build'!C66</f>
        <v>0</v>
      </c>
      <c r="I11" s="183">
        <f>'Costs &amp; Expenses Build'!D66</f>
        <v>49.43</v>
      </c>
      <c r="J11" s="187">
        <f>'Costs &amp; Expenses Build'!E66</f>
        <v>58.26</v>
      </c>
      <c r="K11" s="188">
        <f>'Costs &amp; Expenses Build'!F66</f>
        <v>71.816957316348791</v>
      </c>
      <c r="L11" s="189">
        <f>'Costs &amp; Expenses Build'!G66</f>
        <v>79.164770200552638</v>
      </c>
      <c r="M11" s="189">
        <f>'Costs &amp; Expenses Build'!H66</f>
        <v>82.31603137863614</v>
      </c>
      <c r="N11" s="189">
        <f>'Costs &amp; Expenses Build'!I66</f>
        <v>85.159222518908081</v>
      </c>
      <c r="O11" s="189">
        <f>'Costs &amp; Expenses Build'!J66</f>
        <v>89.210012580462802</v>
      </c>
    </row>
    <row r="12" spans="1:15" ht="14">
      <c r="A12" s="92"/>
      <c r="B12" s="191" t="s">
        <v>58</v>
      </c>
      <c r="C12" s="192">
        <f>C8+C9-C10-C11</f>
        <v>0</v>
      </c>
      <c r="D12" s="192">
        <f t="shared" ref="D12:O12" si="3">D8+D9-D10-D11</f>
        <v>0</v>
      </c>
      <c r="E12" s="192">
        <f t="shared" si="3"/>
        <v>0</v>
      </c>
      <c r="F12" s="192">
        <f t="shared" si="3"/>
        <v>0</v>
      </c>
      <c r="G12" s="192">
        <f t="shared" si="3"/>
        <v>0</v>
      </c>
      <c r="H12" s="192">
        <f t="shared" si="3"/>
        <v>472.04459999999978</v>
      </c>
      <c r="I12" s="192">
        <f t="shared" si="3"/>
        <v>54.593799999999597</v>
      </c>
      <c r="J12" s="193">
        <f t="shared" si="3"/>
        <v>566.03629999999964</v>
      </c>
      <c r="K12" s="192">
        <f t="shared" si="3"/>
        <v>851.47144922201335</v>
      </c>
      <c r="L12" s="192">
        <f t="shared" si="3"/>
        <v>881.47853334688455</v>
      </c>
      <c r="M12" s="192">
        <f t="shared" si="3"/>
        <v>940.40122455985465</v>
      </c>
      <c r="N12" s="192">
        <f t="shared" si="3"/>
        <v>1003.0925402691435</v>
      </c>
      <c r="O12" s="192">
        <f t="shared" si="3"/>
        <v>1095.8008364550892</v>
      </c>
    </row>
    <row r="13" spans="1:15" ht="14">
      <c r="A13" s="92"/>
      <c r="B13" s="70" t="s">
        <v>59</v>
      </c>
      <c r="J13" s="194"/>
      <c r="K13" s="195">
        <f>1/(1+H27)^1</f>
        <v>0.9586190347151311</v>
      </c>
      <c r="L13" s="196">
        <f>1/(1+H27)^2</f>
        <v>0.91895045371816986</v>
      </c>
      <c r="M13" s="196">
        <f>1/(1+H27)^3</f>
        <v>0.88092339689434385</v>
      </c>
      <c r="N13" s="196">
        <f>1/(1+H27)^4</f>
        <v>0.84446993638883028</v>
      </c>
      <c r="O13" s="196">
        <f>1/(1+H27)^5</f>
        <v>0.80952495526700863</v>
      </c>
    </row>
    <row r="14" spans="1:15" ht="14">
      <c r="A14" s="92"/>
      <c r="B14" s="70" t="s">
        <v>60</v>
      </c>
      <c r="D14" s="197"/>
      <c r="E14" s="197"/>
      <c r="F14" s="197"/>
      <c r="G14" s="197"/>
      <c r="H14" s="198"/>
      <c r="I14" s="197"/>
      <c r="J14" s="199"/>
      <c r="K14" s="200">
        <f>K12*K13</f>
        <v>816.23673874070016</v>
      </c>
      <c r="L14" s="201">
        <f t="shared" ref="L14:O14" si="4">L12*L13</f>
        <v>810.03509816194651</v>
      </c>
      <c r="M14" s="201">
        <f t="shared" si="4"/>
        <v>828.42144118286785</v>
      </c>
      <c r="N14" s="201">
        <f t="shared" si="4"/>
        <v>847.08149367319379</v>
      </c>
      <c r="O14" s="201">
        <f t="shared" si="4"/>
        <v>887.0781231128567</v>
      </c>
    </row>
    <row r="15" spans="1:15" ht="14">
      <c r="A15" s="92"/>
      <c r="B15" s="70" t="s">
        <v>61</v>
      </c>
      <c r="H15" s="198">
        <f>SUM(K14:O14)</f>
        <v>4188.8528948715648</v>
      </c>
    </row>
    <row r="16" spans="1:15" ht="14">
      <c r="A16" s="92"/>
    </row>
    <row r="17" spans="1:15" ht="14">
      <c r="A17" s="92"/>
    </row>
    <row r="18" spans="1:15" ht="14">
      <c r="A18" s="92"/>
      <c r="B18" s="72" t="s">
        <v>62</v>
      </c>
      <c r="C18" s="202"/>
      <c r="H18" s="203"/>
    </row>
    <row r="19" spans="1:15" ht="14">
      <c r="A19" s="92"/>
      <c r="B19" s="70" t="s">
        <v>63</v>
      </c>
      <c r="H19" s="204">
        <f>'WACC Build'!C5</f>
        <v>4.2549999999999998E-2</v>
      </c>
    </row>
    <row r="20" spans="1:15" ht="14">
      <c r="A20" s="92"/>
      <c r="B20" s="70" t="s">
        <v>64</v>
      </c>
      <c r="H20" s="204">
        <v>4.3299999999999998E-2</v>
      </c>
      <c r="K20" s="198"/>
      <c r="L20" s="205"/>
      <c r="M20" s="205"/>
      <c r="N20" s="205"/>
      <c r="O20" s="205"/>
    </row>
    <row r="21" spans="1:15" ht="14">
      <c r="A21" s="92"/>
      <c r="B21" s="73" t="s">
        <v>65</v>
      </c>
      <c r="C21" s="73"/>
      <c r="H21" s="70">
        <v>1.06</v>
      </c>
      <c r="K21" s="205"/>
    </row>
    <row r="22" spans="1:15" ht="14">
      <c r="A22" s="92"/>
      <c r="B22" s="70" t="s">
        <v>66</v>
      </c>
      <c r="H22" s="90">
        <v>30291.5</v>
      </c>
      <c r="K22" s="205"/>
    </row>
    <row r="23" spans="1:15" ht="14">
      <c r="A23" s="92"/>
      <c r="B23" s="70" t="s">
        <v>67</v>
      </c>
      <c r="H23" s="206">
        <v>2353.6</v>
      </c>
      <c r="K23" s="197"/>
    </row>
    <row r="24" spans="1:15" ht="14">
      <c r="A24" s="92"/>
      <c r="B24" s="70" t="s">
        <v>68</v>
      </c>
      <c r="H24" s="204">
        <f>'WACC Build'!C7</f>
        <v>5.1746599999999997E-2</v>
      </c>
      <c r="K24" s="205"/>
    </row>
    <row r="25" spans="1:15" ht="14">
      <c r="A25" s="92"/>
      <c r="B25" s="76" t="s">
        <v>69</v>
      </c>
      <c r="C25" s="76"/>
      <c r="D25" s="76"/>
      <c r="E25" s="76"/>
      <c r="F25" s="76"/>
      <c r="G25" s="76"/>
      <c r="H25" s="207">
        <f>H19+H21*(H20-H19)</f>
        <v>4.3345000000000002E-2</v>
      </c>
      <c r="K25" s="205"/>
    </row>
    <row r="26" spans="1:15" ht="14">
      <c r="A26" s="92"/>
      <c r="B26" s="76" t="s">
        <v>628</v>
      </c>
      <c r="C26" s="76"/>
      <c r="D26" s="76"/>
      <c r="E26" s="76"/>
      <c r="F26" s="76"/>
      <c r="G26" s="76"/>
      <c r="H26" s="208">
        <v>0.21</v>
      </c>
      <c r="K26" s="205"/>
    </row>
    <row r="27" spans="1:15" ht="14">
      <c r="A27" s="209"/>
      <c r="B27" s="191" t="s">
        <v>62</v>
      </c>
      <c r="C27" s="191"/>
      <c r="D27" s="191"/>
      <c r="E27" s="191"/>
      <c r="F27" s="191"/>
      <c r="G27" s="191"/>
      <c r="H27" s="276">
        <f>(H23/(H23+H22))*H24*(1-H26)+(H22/(H23+H22))*H25</f>
        <v>4.3167268525150793E-2</v>
      </c>
      <c r="I27" s="76"/>
    </row>
    <row r="28" spans="1:15" ht="14">
      <c r="A28" s="92"/>
      <c r="B28" s="76"/>
      <c r="C28" s="76"/>
      <c r="D28" s="76"/>
      <c r="E28" s="76"/>
      <c r="F28" s="76"/>
      <c r="G28" s="76"/>
      <c r="H28" s="76"/>
    </row>
    <row r="29" spans="1:15" ht="14">
      <c r="A29" s="92"/>
      <c r="B29" s="72" t="s">
        <v>70</v>
      </c>
      <c r="C29" s="202"/>
      <c r="H29" s="203"/>
    </row>
    <row r="30" spans="1:15" ht="14">
      <c r="A30" s="92"/>
      <c r="B30" s="70" t="s">
        <v>71</v>
      </c>
      <c r="H30" s="205">
        <v>0.02</v>
      </c>
    </row>
    <row r="31" spans="1:15" ht="14">
      <c r="A31" s="92"/>
      <c r="B31" s="73" t="s">
        <v>72</v>
      </c>
      <c r="C31" s="73"/>
      <c r="H31" s="197">
        <f>H27</f>
        <v>4.3167268525150793E-2</v>
      </c>
    </row>
    <row r="32" spans="1:15" ht="14">
      <c r="A32" s="92"/>
      <c r="B32" s="76" t="s">
        <v>73</v>
      </c>
      <c r="C32" s="76"/>
      <c r="H32" s="320">
        <f>H15</f>
        <v>4188.8528948715648</v>
      </c>
    </row>
    <row r="33" spans="1:8" ht="14">
      <c r="A33" s="92"/>
      <c r="B33" s="76" t="s">
        <v>74</v>
      </c>
      <c r="C33" s="76"/>
      <c r="H33" s="321">
        <f>O12*(1+H30)/(H31-H30)</f>
        <v>48245.517246488424</v>
      </c>
    </row>
    <row r="34" spans="1:8" ht="14">
      <c r="A34" s="92"/>
      <c r="B34" s="73" t="s">
        <v>75</v>
      </c>
      <c r="C34" s="73"/>
      <c r="H34" s="321">
        <f>H33/(1+H27)^5</f>
        <v>39055.950190797237</v>
      </c>
    </row>
    <row r="35" spans="1:8" ht="14">
      <c r="A35" s="92"/>
      <c r="B35" s="76" t="s">
        <v>76</v>
      </c>
      <c r="C35" s="76"/>
      <c r="H35" s="320">
        <f>H34+H15</f>
        <v>43244.803085668798</v>
      </c>
    </row>
    <row r="36" spans="1:8" ht="14">
      <c r="A36" s="92"/>
      <c r="B36" s="76" t="s">
        <v>77</v>
      </c>
      <c r="C36" s="76"/>
      <c r="H36" s="321">
        <f>'Balance Sheet'!K20</f>
        <v>162.1</v>
      </c>
    </row>
    <row r="37" spans="1:8" ht="14">
      <c r="A37" s="92"/>
      <c r="B37" s="73" t="s">
        <v>78</v>
      </c>
      <c r="C37" s="73"/>
      <c r="H37" s="321">
        <f>'Balance Sheet'!K66+'Balance Sheet'!K78</f>
        <v>2229.38</v>
      </c>
    </row>
    <row r="38" spans="1:8" ht="14">
      <c r="A38" s="92"/>
      <c r="B38" s="77" t="s">
        <v>79</v>
      </c>
      <c r="C38" s="77"/>
      <c r="D38" s="75"/>
      <c r="E38" s="75"/>
      <c r="F38" s="75"/>
      <c r="G38" s="75"/>
      <c r="H38" s="322">
        <f>H35+H36-H37</f>
        <v>41177.523085668799</v>
      </c>
    </row>
    <row r="39" spans="1:8" ht="14">
      <c r="A39" s="92"/>
      <c r="B39" s="73" t="s">
        <v>80</v>
      </c>
      <c r="C39" s="73"/>
      <c r="H39" s="321">
        <v>138.94999999999999</v>
      </c>
    </row>
    <row r="40" spans="1:8" ht="14">
      <c r="A40" s="92"/>
      <c r="B40" s="76" t="s">
        <v>81</v>
      </c>
      <c r="C40" s="76"/>
      <c r="H40" s="320">
        <f>H38/H39</f>
        <v>296.3477731966089</v>
      </c>
    </row>
    <row r="41" spans="1:8" ht="14">
      <c r="A41" s="92"/>
      <c r="B41" s="76" t="s">
        <v>82</v>
      </c>
      <c r="C41" s="76"/>
      <c r="H41" s="323">
        <v>242</v>
      </c>
    </row>
    <row r="42" spans="1:8" ht="14">
      <c r="A42" s="92"/>
      <c r="B42" s="191" t="s">
        <v>651</v>
      </c>
      <c r="C42" s="90"/>
      <c r="D42" s="90"/>
      <c r="E42" s="90"/>
      <c r="F42" s="90"/>
      <c r="G42" s="90"/>
      <c r="H42" s="211">
        <f>(H40-H41)/H41</f>
        <v>0.22457757519259874</v>
      </c>
    </row>
    <row r="43" spans="1:8" ht="14">
      <c r="A43" s="92"/>
    </row>
    <row r="44" spans="1:8" ht="14">
      <c r="A44" s="95"/>
    </row>
    <row r="45" spans="1:8" ht="14">
      <c r="A45" s="92"/>
    </row>
    <row r="46" spans="1:8" ht="14">
      <c r="A46" s="92"/>
    </row>
    <row r="47" spans="1:8" ht="14">
      <c r="A47" s="92"/>
    </row>
    <row r="48" spans="1:8" ht="14">
      <c r="A48" s="92"/>
    </row>
    <row r="49" spans="1:1" ht="14">
      <c r="A49" s="212"/>
    </row>
  </sheetData>
  <phoneticPr fontId="65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D5D8-7FA3-4CCF-A162-33AD3BD3C96D}">
  <dimension ref="A1:AD35"/>
  <sheetViews>
    <sheetView showGridLines="0" zoomScale="90" zoomScaleNormal="75" workbookViewId="0">
      <selection activeCell="I37" sqref="I37"/>
    </sheetView>
  </sheetViews>
  <sheetFormatPr baseColWidth="10" defaultColWidth="9.1640625" defaultRowHeight="14"/>
  <cols>
    <col min="1" max="1" width="2.6640625" style="324" customWidth="1"/>
    <col min="2" max="2" width="49" style="70" bestFit="1" customWidth="1"/>
    <col min="3" max="5" width="0" style="70" hidden="1" customWidth="1"/>
    <col min="6" max="6" width="2.5" style="70" hidden="1" customWidth="1"/>
    <col min="7" max="7" width="2.6640625" style="70" hidden="1" customWidth="1"/>
    <col min="8" max="15" width="16.1640625" style="70" bestFit="1" customWidth="1"/>
    <col min="16" max="16" width="12.1640625" style="70" bestFit="1" customWidth="1"/>
    <col min="17" max="16384" width="9.1640625" style="70"/>
  </cols>
  <sheetData>
    <row r="1" spans="1:30"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>
      <c r="A2" s="325" t="s">
        <v>0</v>
      </c>
      <c r="B2" s="96" t="s">
        <v>7</v>
      </c>
      <c r="C2" s="97"/>
      <c r="D2" s="97"/>
      <c r="E2" s="97"/>
      <c r="F2" s="97"/>
      <c r="G2" s="379"/>
      <c r="H2" s="97"/>
      <c r="I2" s="97"/>
      <c r="J2" s="97"/>
      <c r="K2" s="97"/>
      <c r="L2" s="97"/>
      <c r="M2" s="97"/>
      <c r="N2" s="97"/>
      <c r="O2" s="97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</row>
    <row r="3" spans="1:30">
      <c r="A3" s="325"/>
      <c r="B3" s="83" t="s">
        <v>2</v>
      </c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1:30">
      <c r="A4" s="325"/>
      <c r="B4" s="83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1:30">
      <c r="A5" s="325"/>
      <c r="B5" s="83" t="s">
        <v>4</v>
      </c>
      <c r="C5" s="99">
        <f>2015</f>
        <v>2015</v>
      </c>
      <c r="D5" s="99">
        <f t="shared" ref="D5:O5" si="0">C5+1</f>
        <v>2016</v>
      </c>
      <c r="E5" s="99">
        <f t="shared" si="0"/>
        <v>2017</v>
      </c>
      <c r="F5" s="99">
        <f t="shared" si="0"/>
        <v>2018</v>
      </c>
      <c r="G5" s="99">
        <f>F5+1</f>
        <v>2019</v>
      </c>
      <c r="H5" s="99">
        <f>G5+3</f>
        <v>2022</v>
      </c>
      <c r="I5" s="99">
        <f t="shared" si="0"/>
        <v>2023</v>
      </c>
      <c r="J5" s="327">
        <f t="shared" si="0"/>
        <v>2024</v>
      </c>
      <c r="K5" s="100">
        <f t="shared" si="0"/>
        <v>2025</v>
      </c>
      <c r="L5" s="100">
        <f t="shared" si="0"/>
        <v>2026</v>
      </c>
      <c r="M5" s="100">
        <f t="shared" si="0"/>
        <v>2027</v>
      </c>
      <c r="N5" s="100">
        <f t="shared" si="0"/>
        <v>2028</v>
      </c>
      <c r="O5" s="100">
        <f t="shared" si="0"/>
        <v>2029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</row>
    <row r="6" spans="1:30">
      <c r="A6" s="325"/>
      <c r="B6" s="328" t="s">
        <v>537</v>
      </c>
      <c r="C6" s="107">
        <v>140.93600000000001</v>
      </c>
      <c r="D6" s="107">
        <v>173.54</v>
      </c>
      <c r="E6" s="107">
        <v>236.28299999999999</v>
      </c>
      <c r="F6" s="107">
        <v>291.072</v>
      </c>
      <c r="G6" s="352">
        <v>337.375</v>
      </c>
      <c r="H6" s="329"/>
      <c r="I6" s="329"/>
      <c r="J6" s="330"/>
      <c r="K6" s="323"/>
      <c r="L6" s="321"/>
      <c r="M6" s="321"/>
      <c r="N6" s="321"/>
      <c r="O6" s="321"/>
      <c r="P6" s="323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</row>
    <row r="7" spans="1:30">
      <c r="A7" s="325"/>
      <c r="B7" s="106" t="s">
        <v>538</v>
      </c>
      <c r="C7" s="107"/>
      <c r="D7" s="107"/>
      <c r="E7" s="107"/>
      <c r="F7" s="107"/>
      <c r="G7" s="352"/>
      <c r="H7" s="329">
        <f>'Income Statement + Forecast'!C24</f>
        <v>694.9</v>
      </c>
      <c r="I7" s="329">
        <f>'Income Statement + Forecast'!D24</f>
        <v>1040.502</v>
      </c>
      <c r="J7" s="330">
        <f>'Income Statement + Forecast'!E24</f>
        <v>1658.431</v>
      </c>
      <c r="K7" s="329">
        <f>'Income Statement + Forecast'!F24</f>
        <v>1979.9607043678918</v>
      </c>
      <c r="L7" s="331">
        <f>'Income Statement + Forecast'!G24</f>
        <v>2264.8292152617269</v>
      </c>
      <c r="M7" s="331">
        <f>'Income Statement + Forecast'!H24</f>
        <v>2545.3868383441263</v>
      </c>
      <c r="N7" s="331">
        <f>'Income Statement + Forecast'!I24</f>
        <v>2809.7910360837604</v>
      </c>
      <c r="O7" s="331">
        <f>'Income Statement + Forecast'!J24</f>
        <v>3045.4646214265249</v>
      </c>
      <c r="P7" s="323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</row>
    <row r="8" spans="1:30" s="197" customFormat="1">
      <c r="A8" s="332"/>
      <c r="B8" s="333" t="s">
        <v>540</v>
      </c>
      <c r="C8" s="334"/>
      <c r="D8" s="334"/>
      <c r="E8" s="334"/>
      <c r="F8" s="334"/>
      <c r="G8" s="363"/>
      <c r="H8" s="335">
        <f>'Income Statement + Forecast'!C25</f>
        <v>0.29835188344166946</v>
      </c>
      <c r="I8" s="335">
        <f>'Income Statement + Forecast'!D25</f>
        <v>0.49734062455029499</v>
      </c>
      <c r="J8" s="336">
        <f>'Income Statement + Forecast'!E25</f>
        <v>0.5938758406999699</v>
      </c>
      <c r="K8" s="335">
        <f>'Income Statement + Forecast'!F25</f>
        <v>0.19387584069996988</v>
      </c>
      <c r="L8" s="337">
        <f>'Income Statement + Forecast'!G25</f>
        <v>0.14387584069996989</v>
      </c>
      <c r="M8" s="337">
        <f>'Income Statement + Forecast'!H25</f>
        <v>0.12387584069996989</v>
      </c>
      <c r="N8" s="337">
        <f>'Income Statement + Forecast'!I25</f>
        <v>0.10387584069996988</v>
      </c>
      <c r="O8" s="337">
        <f>'Income Statement + Forecast'!J25</f>
        <v>8.3875840699969881E-2</v>
      </c>
      <c r="P8" s="338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</row>
    <row r="9" spans="1:30" s="197" customFormat="1">
      <c r="A9" s="332"/>
      <c r="B9" s="106" t="s">
        <v>539</v>
      </c>
      <c r="C9" s="334"/>
      <c r="D9" s="334"/>
      <c r="E9" s="334"/>
      <c r="F9" s="334"/>
      <c r="G9" s="363"/>
      <c r="H9" s="340">
        <f>'Income Statement + Forecast'!C29</f>
        <v>264.98599999999999</v>
      </c>
      <c r="I9" s="340">
        <f>'Income Statement + Forecast'!D29</f>
        <v>366.56599999999997</v>
      </c>
      <c r="J9" s="341">
        <f>'Income Statement + Forecast'!E29</f>
        <v>593.23699999999997</v>
      </c>
      <c r="K9" s="340">
        <f>'Income Statement + Forecast'!F29</f>
        <v>787.81774977740747</v>
      </c>
      <c r="L9" s="342">
        <f>'Income Statement + Forecast'!G29</f>
        <v>1061.977016997982</v>
      </c>
      <c r="M9" s="342">
        <f>'Income Statement + Forecast'!H29</f>
        <v>1452.7827937771701</v>
      </c>
      <c r="N9" s="342">
        <f>'Income Statement + Forecast'!I29</f>
        <v>2016.4601025943844</v>
      </c>
      <c r="O9" s="342">
        <f>'Income Statement + Forecast'!J29</f>
        <v>2839.1724722032695</v>
      </c>
      <c r="P9" s="338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</row>
    <row r="10" spans="1:30" s="197" customFormat="1">
      <c r="A10" s="332"/>
      <c r="B10" s="333" t="s">
        <v>540</v>
      </c>
      <c r="C10" s="334"/>
      <c r="D10" s="334"/>
      <c r="E10" s="334"/>
      <c r="F10" s="334"/>
      <c r="G10" s="363"/>
      <c r="H10" s="343">
        <f>'Income Statement + Forecast'!C30</f>
        <v>0.27265566841966232</v>
      </c>
      <c r="I10" s="343">
        <f>'Income Statement + Forecast'!D30</f>
        <v>0.38334100669469323</v>
      </c>
      <c r="J10" s="344">
        <f>'Income Statement + Forecast'!E30</f>
        <v>0.61836340522579836</v>
      </c>
      <c r="K10" s="343">
        <f>'Income Statement + Forecast'!F30</f>
        <v>0.32799833755717778</v>
      </c>
      <c r="L10" s="345">
        <f>'Income Statement + Forecast'!G30</f>
        <v>0.34799833755717779</v>
      </c>
      <c r="M10" s="345">
        <f>'Income Statement + Forecast'!H30</f>
        <v>0.36799833755717781</v>
      </c>
      <c r="N10" s="345">
        <f>'Income Statement + Forecast'!I30</f>
        <v>0.38799833755717783</v>
      </c>
      <c r="O10" s="345">
        <f>'Income Statement + Forecast'!J30</f>
        <v>0.40799833755717785</v>
      </c>
      <c r="P10" s="338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</row>
    <row r="11" spans="1:30" s="197" customFormat="1">
      <c r="A11" s="332"/>
      <c r="B11" s="106" t="s">
        <v>541</v>
      </c>
      <c r="C11" s="334"/>
      <c r="D11" s="334"/>
      <c r="E11" s="334"/>
      <c r="F11" s="334"/>
      <c r="G11" s="363"/>
      <c r="H11" s="340">
        <f>'Income Statement + Forecast'!C34</f>
        <v>295.32600000000002</v>
      </c>
      <c r="I11" s="340">
        <f>'Income Statement + Forecast'!D34</f>
        <v>363.11700000000002</v>
      </c>
      <c r="J11" s="341">
        <f>'Income Statement + Forecast'!E34</f>
        <v>387.68599999999998</v>
      </c>
      <c r="K11" s="340">
        <f>'Income Statement + Forecast'!F34</f>
        <v>426.45460000000003</v>
      </c>
      <c r="L11" s="342">
        <f>'Income Statement + Forecast'!G34</f>
        <v>477.62915200000009</v>
      </c>
      <c r="M11" s="342">
        <f>'Income Statement + Forecast'!H34</f>
        <v>544.49723328000016</v>
      </c>
      <c r="N11" s="342">
        <f>'Income Statement + Forecast'!I34</f>
        <v>631.61679060480014</v>
      </c>
      <c r="O11" s="342">
        <f>'Income Statement + Forecast'!J34</f>
        <v>745.30781291366418</v>
      </c>
      <c r="P11" s="338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</row>
    <row r="12" spans="1:30" s="197" customFormat="1">
      <c r="A12" s="332"/>
      <c r="B12" s="333" t="s">
        <v>540</v>
      </c>
      <c r="C12" s="334"/>
      <c r="D12" s="334"/>
      <c r="E12" s="334"/>
      <c r="F12" s="334"/>
      <c r="G12" s="363"/>
      <c r="H12" s="343">
        <f>'Income Statement + Forecast'!C35</f>
        <v>0.60881857850267207</v>
      </c>
      <c r="I12" s="343">
        <f>'Income Statement + Forecast'!D35</f>
        <v>0.22954633185022649</v>
      </c>
      <c r="J12" s="344">
        <f>'Income Statement + Forecast'!E35</f>
        <v>6.7661387376520402E-2</v>
      </c>
      <c r="K12" s="343">
        <f>'Income Statement + Forecast'!F35</f>
        <v>0.1</v>
      </c>
      <c r="L12" s="345">
        <f>'Income Statement + Forecast'!G35</f>
        <v>0.12000000000000001</v>
      </c>
      <c r="M12" s="345">
        <f>'Income Statement + Forecast'!H35</f>
        <v>0.14000000000000001</v>
      </c>
      <c r="N12" s="345">
        <f>'Income Statement + Forecast'!I35</f>
        <v>0.16</v>
      </c>
      <c r="O12" s="345">
        <f>'Income Statement + Forecast'!J35</f>
        <v>0.18</v>
      </c>
      <c r="P12" s="338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</row>
    <row r="13" spans="1:30" s="197" customFormat="1">
      <c r="A13" s="332"/>
      <c r="B13" s="346" t="s">
        <v>545</v>
      </c>
      <c r="C13" s="334"/>
      <c r="D13" s="334"/>
      <c r="E13" s="334"/>
      <c r="F13" s="334"/>
      <c r="G13" s="363"/>
      <c r="H13" s="347">
        <f>'Income Statement + Forecast'!C39</f>
        <v>1255.212</v>
      </c>
      <c r="I13" s="347">
        <f>'Income Statement + Forecast'!D39</f>
        <v>1770.1849999999999</v>
      </c>
      <c r="J13" s="348">
        <f>'Income Statement + Forecast'!E39</f>
        <v>2639.3539999999998</v>
      </c>
      <c r="K13" s="347">
        <f>'Income Statement + Forecast'!F39</f>
        <v>3194.2330541452993</v>
      </c>
      <c r="L13" s="349">
        <f>'Income Statement + Forecast'!G39</f>
        <v>3804.4353842597088</v>
      </c>
      <c r="M13" s="349">
        <f>'Income Statement + Forecast'!H39</f>
        <v>4542.6668654012965</v>
      </c>
      <c r="N13" s="349">
        <f>'Income Statement + Forecast'!I39</f>
        <v>5457.8679292829447</v>
      </c>
      <c r="O13" s="349">
        <f>'Income Statement + Forecast'!J39</f>
        <v>6629.9449065434583</v>
      </c>
      <c r="P13" s="350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</row>
    <row r="14" spans="1:30">
      <c r="A14" s="325"/>
      <c r="B14" s="328" t="s">
        <v>542</v>
      </c>
      <c r="C14" s="107">
        <v>140.93600000000001</v>
      </c>
      <c r="D14" s="107">
        <v>173.54</v>
      </c>
      <c r="E14" s="107">
        <v>236.28299999999999</v>
      </c>
      <c r="F14" s="107">
        <v>291.072</v>
      </c>
      <c r="G14" s="352">
        <v>337.375</v>
      </c>
      <c r="H14" s="329"/>
      <c r="I14" s="329"/>
      <c r="J14" s="330"/>
      <c r="K14" s="323"/>
      <c r="L14" s="321"/>
      <c r="M14" s="321"/>
      <c r="N14" s="321"/>
      <c r="O14" s="321"/>
      <c r="P14" s="323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</row>
    <row r="15" spans="1:30">
      <c r="A15" s="325"/>
      <c r="B15" s="106" t="s">
        <v>543</v>
      </c>
      <c r="C15" s="107"/>
      <c r="D15" s="107"/>
      <c r="E15" s="107"/>
      <c r="F15" s="107"/>
      <c r="G15" s="352"/>
      <c r="H15" s="329">
        <f>'Income Statement + Forecast'!C11</f>
        <v>672.14700000000005</v>
      </c>
      <c r="I15" s="329">
        <f>'Income Statement + Forecast'!D11</f>
        <v>918.37400000000002</v>
      </c>
      <c r="J15" s="330">
        <f>'Income Statement + Forecast'!E11</f>
        <v>1004.511</v>
      </c>
      <c r="K15" s="329">
        <f>'Income Statement + Forecast'!F11</f>
        <v>1110.7593216433702</v>
      </c>
      <c r="L15" s="331">
        <f>'Income Statement + Forecast'!G11</f>
        <v>1320.2830455372034</v>
      </c>
      <c r="M15" s="331">
        <f>'Income Statement + Forecast'!H11</f>
        <v>1491.1255612218235</v>
      </c>
      <c r="N15" s="331">
        <f>'Income Statement + Forecast'!I11</f>
        <v>1701.7722286000665</v>
      </c>
      <c r="O15" s="331">
        <f>'Income Statement + Forecast'!J11</f>
        <v>1962.3114939405175</v>
      </c>
      <c r="P15" s="323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</row>
    <row r="16" spans="1:30" s="197" customFormat="1">
      <c r="A16" s="332"/>
      <c r="B16" s="333" t="s">
        <v>540</v>
      </c>
      <c r="C16" s="334"/>
      <c r="D16" s="334"/>
      <c r="E16" s="334"/>
      <c r="F16" s="334"/>
      <c r="G16" s="363"/>
      <c r="H16" s="343">
        <f>'Income Statement + Forecast'!C12</f>
        <v>-5.2808471000717172E-2</v>
      </c>
      <c r="I16" s="343">
        <f>'Income Statement + Forecast'!D12</f>
        <v>0.36632909170166639</v>
      </c>
      <c r="J16" s="344">
        <f>'Income Statement + Forecast'!E12</f>
        <v>9.3792942744459165E-2</v>
      </c>
      <c r="K16" s="343">
        <f>'Income Statement + Forecast'!F12</f>
        <v>0.10577118781513611</v>
      </c>
      <c r="L16" s="345">
        <f>'Income Statement + Forecast'!G12</f>
        <v>0.18863107408708721</v>
      </c>
      <c r="M16" s="345">
        <f>'Income Statement + Forecast'!H12</f>
        <v>0.12939840154889415</v>
      </c>
      <c r="N16" s="345">
        <f>'Income Statement + Forecast'!I12</f>
        <v>0.14126688781703914</v>
      </c>
      <c r="O16" s="345">
        <f>'Income Statement + Forecast'!J12</f>
        <v>0.1530987878176735</v>
      </c>
      <c r="P16" s="338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</row>
    <row r="17" spans="1:30" s="197" customFormat="1">
      <c r="A17" s="332"/>
      <c r="B17" s="106" t="s">
        <v>544</v>
      </c>
      <c r="C17" s="334"/>
      <c r="D17" s="334"/>
      <c r="E17" s="334"/>
      <c r="F17" s="334"/>
      <c r="G17" s="363"/>
      <c r="H17" s="340">
        <f>'Income Statement + Forecast'!C16</f>
        <v>300.32799999999997</v>
      </c>
      <c r="I17" s="340">
        <f>'Income Statement + Forecast'!D16</f>
        <v>306.84800000000001</v>
      </c>
      <c r="J17" s="341">
        <f>'Income Statement + Forecast'!E16</f>
        <v>259.11500000000001</v>
      </c>
      <c r="K17" s="340">
        <f>'Income Statement + Forecast'!F16</f>
        <v>265.11562412207161</v>
      </c>
      <c r="L17" s="342">
        <f>'Income Statement + Forecast'!G16</f>
        <v>255.33362144771658</v>
      </c>
      <c r="M17" s="342">
        <f>'Income Statement + Forecast'!H16</f>
        <v>240.92445811753151</v>
      </c>
      <c r="N17" s="342">
        <f>'Income Statement + Forecast'!I16</f>
        <v>235.28910178409097</v>
      </c>
      <c r="O17" s="342">
        <f>'Income Statement + Forecast'!J16</f>
        <v>226.13475867849468</v>
      </c>
      <c r="P17" s="338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</row>
    <row r="18" spans="1:30" s="197" customFormat="1">
      <c r="A18" s="332"/>
      <c r="B18" s="333" t="s">
        <v>540</v>
      </c>
      <c r="C18" s="334"/>
      <c r="D18" s="334"/>
      <c r="E18" s="334"/>
      <c r="F18" s="334"/>
      <c r="G18" s="363"/>
      <c r="H18" s="343">
        <f>'Income Statement + Forecast'!C17</f>
        <v>0.20332395765720276</v>
      </c>
      <c r="I18" s="343">
        <f>'Income Statement + Forecast'!D17</f>
        <v>2.170959750672611E-2</v>
      </c>
      <c r="J18" s="344">
        <f>'Income Statement + Forecast'!E17</f>
        <v>-0.15555910418187507</v>
      </c>
      <c r="K18" s="343">
        <f>'Income Statement + Forecast'!F17</f>
        <v>2.3158150327351263E-2</v>
      </c>
      <c r="L18" s="345">
        <f>'Income Statement + Forecast'!G17</f>
        <v>-3.6897118782599235E-2</v>
      </c>
      <c r="M18" s="345">
        <f>'Income Statement + Forecast'!H17</f>
        <v>-5.6432690879041014E-2</v>
      </c>
      <c r="N18" s="345">
        <f>'Income Statement + Forecast'!I17</f>
        <v>-2.3390553111429662E-2</v>
      </c>
      <c r="O18" s="345">
        <f>'Income Statement + Forecast'!J17</f>
        <v>-3.8906787591023305E-2</v>
      </c>
      <c r="P18" s="338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</row>
    <row r="19" spans="1:30">
      <c r="A19" s="325"/>
      <c r="B19" s="351" t="s">
        <v>546</v>
      </c>
      <c r="C19" s="352"/>
      <c r="D19" s="352"/>
      <c r="E19" s="352"/>
      <c r="F19" s="352"/>
      <c r="G19" s="352"/>
      <c r="H19" s="353">
        <f>SUM(H15+H17)</f>
        <v>972.47500000000002</v>
      </c>
      <c r="I19" s="353">
        <f t="shared" ref="I19:O19" si="1">SUM(I15+I17)</f>
        <v>1225.222</v>
      </c>
      <c r="J19" s="354">
        <f t="shared" si="1"/>
        <v>1263.626</v>
      </c>
      <c r="K19" s="355">
        <f t="shared" si="1"/>
        <v>1375.8749457654417</v>
      </c>
      <c r="L19" s="353">
        <f t="shared" si="1"/>
        <v>1575.6166669849199</v>
      </c>
      <c r="M19" s="353">
        <f t="shared" si="1"/>
        <v>1732.050019339355</v>
      </c>
      <c r="N19" s="353">
        <f t="shared" si="1"/>
        <v>1937.0613303841574</v>
      </c>
      <c r="O19" s="353">
        <f t="shared" si="1"/>
        <v>2188.4462526190123</v>
      </c>
      <c r="P19" s="323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</row>
    <row r="20" spans="1:30">
      <c r="A20" s="325" t="s">
        <v>0</v>
      </c>
      <c r="B20" s="356" t="s">
        <v>11</v>
      </c>
      <c r="C20" s="357">
        <f>SUM(C6:C19)</f>
        <v>281.87200000000001</v>
      </c>
      <c r="D20" s="357">
        <f>SUM(D6:D19)</f>
        <v>347.08</v>
      </c>
      <c r="E20" s="357">
        <f>SUM(E6:E19)</f>
        <v>472.56599999999997</v>
      </c>
      <c r="F20" s="357">
        <f>SUM(F6:F19)</f>
        <v>582.14400000000001</v>
      </c>
      <c r="G20" s="357">
        <f>SUM(G6:G19)</f>
        <v>674.75</v>
      </c>
      <c r="H20" s="358">
        <f>H13+H19</f>
        <v>2227.6869999999999</v>
      </c>
      <c r="I20" s="358">
        <f t="shared" ref="I20:O20" si="2">I13+I19</f>
        <v>2995.4070000000002</v>
      </c>
      <c r="J20" s="359">
        <f t="shared" si="2"/>
        <v>3902.9799999999996</v>
      </c>
      <c r="K20" s="358">
        <f t="shared" si="2"/>
        <v>4570.1079999107405</v>
      </c>
      <c r="L20" s="358">
        <f t="shared" si="2"/>
        <v>5380.0520512446292</v>
      </c>
      <c r="M20" s="358">
        <f t="shared" si="2"/>
        <v>6274.7168847406519</v>
      </c>
      <c r="N20" s="358">
        <f t="shared" si="2"/>
        <v>7394.9292596671021</v>
      </c>
      <c r="O20" s="358">
        <f t="shared" si="2"/>
        <v>8818.391159162471</v>
      </c>
      <c r="P20" s="360"/>
      <c r="Q20" s="361"/>
      <c r="R20" s="361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</row>
    <row r="21" spans="1:30">
      <c r="A21" s="325"/>
      <c r="B21" s="106" t="s">
        <v>548</v>
      </c>
      <c r="C21" s="372"/>
      <c r="D21" s="372"/>
      <c r="E21" s="372"/>
      <c r="F21" s="372"/>
      <c r="G21" s="378"/>
      <c r="H21" s="367">
        <f>'Income Statement + Forecast'!C42</f>
        <v>1345.5630000000001</v>
      </c>
      <c r="I21" s="367">
        <f>'Income Statement + Forecast'!D42</f>
        <v>1814.617</v>
      </c>
      <c r="J21" s="373">
        <f>'Income Statement + Forecast'!E42</f>
        <v>2355.9430000000002</v>
      </c>
      <c r="K21" s="374">
        <f>'Costs &amp; Expenses Build'!F23</f>
        <v>2604.9615599491217</v>
      </c>
      <c r="L21" s="374">
        <f>'Costs &amp; Expenses Build'!G23</f>
        <v>3120.4301897218847</v>
      </c>
      <c r="M21" s="374">
        <f>'Costs &amp; Expenses Build'!H23</f>
        <v>3702.0829619969845</v>
      </c>
      <c r="N21" s="374">
        <f>'Costs &amp; Expenses Build'!I23</f>
        <v>4436.9575558002607</v>
      </c>
      <c r="O21" s="374">
        <f>'Costs &amp; Expenses Build'!J23</f>
        <v>5379.2186070891075</v>
      </c>
      <c r="P21" s="323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</row>
    <row r="22" spans="1:30" s="197" customFormat="1">
      <c r="A22" s="362"/>
      <c r="B22" s="333" t="s">
        <v>540</v>
      </c>
      <c r="C22" s="334"/>
      <c r="D22" s="363"/>
      <c r="E22" s="363"/>
      <c r="F22" s="363"/>
      <c r="G22" s="363"/>
      <c r="H22" s="345">
        <f>H21/H20</f>
        <v>0.60401797918648359</v>
      </c>
      <c r="I22" s="345">
        <f t="shared" ref="I22:J22" si="3">I21/I20</f>
        <v>0.60579981284680173</v>
      </c>
      <c r="J22" s="344">
        <f t="shared" si="3"/>
        <v>0.60362671599649509</v>
      </c>
      <c r="K22" s="343">
        <f>'Costs &amp; Expenses Build'!F26</f>
        <v>0.56999999999999995</v>
      </c>
      <c r="L22" s="343">
        <f>'Costs &amp; Expenses Build'!G26</f>
        <v>0.57999999999999996</v>
      </c>
      <c r="M22" s="343">
        <f>'Costs &amp; Expenses Build'!H26</f>
        <v>0.59</v>
      </c>
      <c r="N22" s="343">
        <f>'Costs &amp; Expenses Build'!I26</f>
        <v>0.6</v>
      </c>
      <c r="O22" s="343">
        <f>'Costs &amp; Expenses Build'!J26</f>
        <v>0.61</v>
      </c>
      <c r="P22" s="338"/>
      <c r="Q22" s="339"/>
      <c r="R22" s="339" t="s">
        <v>649</v>
      </c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</row>
    <row r="23" spans="1:30" ht="15.75" customHeight="1">
      <c r="A23" s="325" t="s">
        <v>0</v>
      </c>
      <c r="B23" s="328" t="s">
        <v>549</v>
      </c>
      <c r="C23" s="357" t="e">
        <f>SUM(#REF!)</f>
        <v>#REF!</v>
      </c>
      <c r="D23" s="357" t="e">
        <f>SUM(#REF!)</f>
        <v>#REF!</v>
      </c>
      <c r="E23" s="357" t="e">
        <f>SUM(#REF!)</f>
        <v>#REF!</v>
      </c>
      <c r="F23" s="357" t="e">
        <f>SUM(#REF!)</f>
        <v>#REF!</v>
      </c>
      <c r="G23" s="357" t="e">
        <f>SUM(#REF!)</f>
        <v>#REF!</v>
      </c>
      <c r="H23" s="375">
        <v>1345.6</v>
      </c>
      <c r="I23" s="375">
        <v>1814.6</v>
      </c>
      <c r="J23" s="377">
        <v>2355.9</v>
      </c>
      <c r="K23" s="376">
        <v>2742.06</v>
      </c>
      <c r="L23" s="376">
        <v>3281.83</v>
      </c>
      <c r="M23" s="376">
        <v>3890.32</v>
      </c>
      <c r="N23" s="376">
        <v>4658.8100000000004</v>
      </c>
      <c r="O23" s="376">
        <v>5643.77</v>
      </c>
      <c r="P23" s="361"/>
      <c r="Q23" s="361"/>
      <c r="R23" s="361"/>
      <c r="S23" s="361"/>
      <c r="T23" s="361"/>
      <c r="U23" s="361"/>
      <c r="V23" s="361"/>
      <c r="W23" s="361"/>
      <c r="X23" s="361"/>
      <c r="Y23" s="361"/>
      <c r="Z23" s="361"/>
      <c r="AA23" s="361"/>
      <c r="AB23" s="361"/>
      <c r="AC23" s="361"/>
      <c r="AD23" s="361"/>
    </row>
    <row r="24" spans="1:30" ht="15.75" customHeight="1">
      <c r="A24" s="325"/>
      <c r="B24" s="106" t="s">
        <v>224</v>
      </c>
      <c r="C24" s="107">
        <v>32.24</v>
      </c>
      <c r="D24" s="107">
        <v>38.979999999999997</v>
      </c>
      <c r="E24" s="107">
        <v>43.49</v>
      </c>
      <c r="F24" s="107">
        <v>55.902000000000001</v>
      </c>
      <c r="G24" s="352">
        <v>61.814999999999998</v>
      </c>
      <c r="H24" s="331">
        <v>76.061000000000007</v>
      </c>
      <c r="I24" s="331">
        <v>95.772999999999996</v>
      </c>
      <c r="J24" s="330">
        <v>111.265</v>
      </c>
      <c r="K24" s="210">
        <f>K25*K20</f>
        <v>146.24345599714371</v>
      </c>
      <c r="L24" s="210">
        <f t="shared" ref="L24:O24" si="4">L25*L20</f>
        <v>166.7816135885835</v>
      </c>
      <c r="M24" s="210">
        <f t="shared" si="4"/>
        <v>188.24150654221955</v>
      </c>
      <c r="N24" s="210">
        <f t="shared" si="4"/>
        <v>229.24280704968015</v>
      </c>
      <c r="O24" s="210">
        <f t="shared" si="4"/>
        <v>273.37012593403659</v>
      </c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</row>
    <row r="25" spans="1:30" s="197" customFormat="1">
      <c r="A25" s="332"/>
      <c r="B25" s="333" t="s">
        <v>547</v>
      </c>
      <c r="C25" s="334"/>
      <c r="D25" s="334"/>
      <c r="E25" s="334"/>
      <c r="F25" s="334"/>
      <c r="G25" s="363"/>
      <c r="H25" s="287">
        <v>0.03</v>
      </c>
      <c r="I25" s="287">
        <v>0.03</v>
      </c>
      <c r="J25" s="364">
        <v>0.03</v>
      </c>
      <c r="K25" s="289">
        <v>3.2000000000000001E-2</v>
      </c>
      <c r="L25" s="289">
        <v>3.1E-2</v>
      </c>
      <c r="M25" s="289">
        <v>0.03</v>
      </c>
      <c r="N25" s="125">
        <v>3.1E-2</v>
      </c>
      <c r="O25" s="289">
        <v>3.1E-2</v>
      </c>
      <c r="P25" s="338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</row>
    <row r="26" spans="1:30" ht="15.75" customHeight="1">
      <c r="A26" s="325"/>
      <c r="B26" s="106" t="s">
        <v>225</v>
      </c>
      <c r="C26" s="107">
        <v>40.002000000000002</v>
      </c>
      <c r="D26" s="107">
        <v>44.271999999999998</v>
      </c>
      <c r="E26" s="107">
        <v>72.754999999999995</v>
      </c>
      <c r="F26" s="107">
        <v>89.203999999999994</v>
      </c>
      <c r="G26" s="352">
        <v>114.443</v>
      </c>
      <c r="H26" s="329">
        <f>'Costs &amp; Expenses Build'!C37</f>
        <v>12.646000000000001</v>
      </c>
      <c r="I26" s="329">
        <f>'Costs &amp; Expenses Build'!D37</f>
        <v>15.475</v>
      </c>
      <c r="J26" s="330">
        <f>'Costs &amp; Expenses Build'!E37</f>
        <v>18.774999999999999</v>
      </c>
      <c r="K26" s="329">
        <f>'Costs &amp; Expenses Build'!F37</f>
        <v>23.845929706384631</v>
      </c>
      <c r="L26" s="331">
        <f>'Costs &amp; Expenses Build'!G37</f>
        <v>60.352371662121016</v>
      </c>
      <c r="M26" s="331">
        <f>'Costs &amp; Expenses Build'!H37</f>
        <v>108.03684809115511</v>
      </c>
      <c r="N26" s="331">
        <f>'Costs &amp; Expenses Build'!I37</f>
        <v>171.69402122572362</v>
      </c>
      <c r="O26" s="331">
        <f>'Costs &amp; Expenses Build'!J37</f>
        <v>257.65402815769852</v>
      </c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</row>
    <row r="27" spans="1:30" s="197" customFormat="1">
      <c r="A27" s="332"/>
      <c r="B27" s="333" t="s">
        <v>547</v>
      </c>
      <c r="C27" s="334"/>
      <c r="D27" s="334"/>
      <c r="E27" s="334"/>
      <c r="F27" s="334"/>
      <c r="G27" s="363"/>
      <c r="H27" s="343">
        <f>'Costs &amp; Expenses Build'!C38</f>
        <v>5.6767400447190301E-3</v>
      </c>
      <c r="I27" s="343">
        <f>'Costs &amp; Expenses Build'!D38</f>
        <v>5.1662463005837274E-3</v>
      </c>
      <c r="J27" s="344">
        <f>'Costs &amp; Expenses Build'!E38</f>
        <v>4.810426904570354E-3</v>
      </c>
      <c r="K27" s="343">
        <f>'Costs &amp; Expenses Build'!F38</f>
        <v>5.2178044166243708E-3</v>
      </c>
      <c r="L27" s="345">
        <f>'Costs &amp; Expenses Build'!G38</f>
        <v>1.1217804416624372E-2</v>
      </c>
      <c r="M27" s="345">
        <f>'Costs &amp; Expenses Build'!H38</f>
        <v>1.721780441662437E-2</v>
      </c>
      <c r="N27" s="345">
        <f>'Costs &amp; Expenses Build'!I38</f>
        <v>2.3217804416624369E-2</v>
      </c>
      <c r="O27" s="345">
        <f>'Costs &amp; Expenses Build'!J38</f>
        <v>2.9217804416624367E-2</v>
      </c>
      <c r="P27" s="338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</row>
    <row r="28" spans="1:30" ht="15.75" customHeight="1">
      <c r="A28" s="325"/>
      <c r="B28" s="106" t="s">
        <v>226</v>
      </c>
      <c r="C28" s="107">
        <v>5.8079999999999998</v>
      </c>
      <c r="D28" s="107">
        <v>6.49</v>
      </c>
      <c r="E28" s="107">
        <v>17.734000000000002</v>
      </c>
      <c r="F28" s="107">
        <v>21.721000000000004</v>
      </c>
      <c r="G28" s="352">
        <v>22.134</v>
      </c>
      <c r="H28" s="329">
        <f>'Costs &amp; Expenses Build'!C43</f>
        <v>365.91500000000002</v>
      </c>
      <c r="I28" s="329">
        <f>'Costs &amp; Expenses Build'!D43</f>
        <v>528.149</v>
      </c>
      <c r="J28" s="330">
        <f>'Costs &amp; Expenses Build'!E43</f>
        <v>677.27099999999996</v>
      </c>
      <c r="K28" s="329">
        <f>'Costs &amp; Expenses Build'!F43</f>
        <v>783.17054762093221</v>
      </c>
      <c r="L28" s="331">
        <f>'Costs &amp; Expenses Build'!G43</f>
        <v>934.7202536724501</v>
      </c>
      <c r="M28" s="331">
        <f>'Costs &amp; Expenses Build'!H43</f>
        <v>1084.7580857728528</v>
      </c>
      <c r="N28" s="331">
        <f>'Costs &amp; Expenses Build'!I43</f>
        <v>1276.8178992045287</v>
      </c>
      <c r="O28" s="331">
        <f>'Costs &amp; Expenses Build'!J43</f>
        <v>1526.3959915731587</v>
      </c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</row>
    <row r="29" spans="1:30" s="197" customFormat="1">
      <c r="A29" s="332"/>
      <c r="B29" s="333" t="s">
        <v>547</v>
      </c>
      <c r="C29" s="334"/>
      <c r="D29" s="334"/>
      <c r="E29" s="334"/>
      <c r="F29" s="334"/>
      <c r="G29" s="363"/>
      <c r="H29" s="343">
        <f>'Costs &amp; Expenses Build'!C44</f>
        <v>0.16425781539327564</v>
      </c>
      <c r="I29" s="343">
        <f>'Costs &amp; Expenses Build'!D44</f>
        <v>0.1763197297193535</v>
      </c>
      <c r="J29" s="344">
        <f>'Costs &amp; Expenses Build'!E44</f>
        <v>0.17352663861972134</v>
      </c>
      <c r="K29" s="343">
        <f>'Costs &amp; Expenses Build'!F44</f>
        <v>0.17136806124411685</v>
      </c>
      <c r="L29" s="345">
        <f>'Costs &amp; Expenses Build'!G44</f>
        <v>0.17373814319439726</v>
      </c>
      <c r="M29" s="345">
        <f>'Costs &amp; Expenses Build'!H44</f>
        <v>0.17287761435274515</v>
      </c>
      <c r="N29" s="345">
        <f>'Costs &amp; Expenses Build'!I44</f>
        <v>0.17266127293041977</v>
      </c>
      <c r="O29" s="345">
        <f>'Costs &amp; Expenses Build'!J44</f>
        <v>0.17309234349252076</v>
      </c>
      <c r="P29" s="338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</row>
    <row r="30" spans="1:30">
      <c r="A30" s="325" t="s">
        <v>0</v>
      </c>
      <c r="B30" s="356" t="s">
        <v>23</v>
      </c>
      <c r="C30" s="365" t="e">
        <f>SUM(#REF!)</f>
        <v>#REF!</v>
      </c>
      <c r="D30" s="365" t="e">
        <f>SUM(#REF!)</f>
        <v>#REF!</v>
      </c>
      <c r="E30" s="365" t="e">
        <f>SUM(#REF!)</f>
        <v>#REF!</v>
      </c>
      <c r="F30" s="365" t="e">
        <f>SUM(#REF!)</f>
        <v>#REF!</v>
      </c>
      <c r="G30" s="365" t="e">
        <f>SUM(#REF!)</f>
        <v>#REF!</v>
      </c>
      <c r="H30" s="365">
        <f t="shared" ref="H30:O30" si="5">SUM(H24,H26,H28)</f>
        <v>454.62200000000001</v>
      </c>
      <c r="I30" s="365">
        <f t="shared" si="5"/>
        <v>639.39699999999993</v>
      </c>
      <c r="J30" s="366">
        <f t="shared" si="5"/>
        <v>807.31099999999992</v>
      </c>
      <c r="K30" s="365">
        <f t="shared" si="5"/>
        <v>953.25993332446058</v>
      </c>
      <c r="L30" s="365">
        <f t="shared" si="5"/>
        <v>1161.8542389231545</v>
      </c>
      <c r="M30" s="365">
        <f t="shared" si="5"/>
        <v>1381.0364404062275</v>
      </c>
      <c r="N30" s="365">
        <f>SUM(N24,N26,N28)</f>
        <v>1677.7547274799324</v>
      </c>
      <c r="O30" s="365">
        <f t="shared" si="5"/>
        <v>2057.4201456648939</v>
      </c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</row>
    <row r="31" spans="1:30" ht="15.75" customHeight="1">
      <c r="A31" s="325" t="s">
        <v>0</v>
      </c>
      <c r="B31" s="328" t="s">
        <v>50</v>
      </c>
      <c r="C31" s="368" t="e">
        <f>C20-C23-#REF!</f>
        <v>#REF!</v>
      </c>
      <c r="D31" s="368" t="e">
        <f>D20-D23-#REF!</f>
        <v>#REF!</v>
      </c>
      <c r="E31" s="368" t="e">
        <f>E20-E23-#REF!</f>
        <v>#REF!</v>
      </c>
      <c r="F31" s="368" t="e">
        <f>F20-F23-#REF!</f>
        <v>#REF!</v>
      </c>
      <c r="G31" s="370" t="e">
        <f>G20-G23-#REF!</f>
        <v>#REF!</v>
      </c>
      <c r="H31" s="368">
        <f t="shared" ref="H31:O31" si="6">(H20-H23)-H30</f>
        <v>427.46499999999997</v>
      </c>
      <c r="I31" s="368">
        <f t="shared" si="6"/>
        <v>541.41000000000031</v>
      </c>
      <c r="J31" s="369">
        <f t="shared" si="6"/>
        <v>739.76899999999955</v>
      </c>
      <c r="K31" s="368">
        <f t="shared" si="6"/>
        <v>874.78806658628002</v>
      </c>
      <c r="L31" s="370">
        <f t="shared" si="6"/>
        <v>936.36781232147473</v>
      </c>
      <c r="M31" s="370">
        <f t="shared" si="6"/>
        <v>1003.3604443344243</v>
      </c>
      <c r="N31" s="370">
        <f>(N20-N23)-N30</f>
        <v>1058.3645321871693</v>
      </c>
      <c r="O31" s="370">
        <f t="shared" si="6"/>
        <v>1117.2010134975767</v>
      </c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</row>
    <row r="32" spans="1:30"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</row>
    <row r="33" spans="16:30"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</row>
    <row r="34" spans="16:30"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</row>
    <row r="35" spans="16:30"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</row>
  </sheetData>
  <phoneticPr fontId="6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2"/>
  <sheetViews>
    <sheetView showGridLines="0" zoomScale="84" zoomScaleNormal="100" workbookViewId="0">
      <selection activeCell="D67" sqref="D67"/>
    </sheetView>
  </sheetViews>
  <sheetFormatPr baseColWidth="10" defaultColWidth="14.5" defaultRowHeight="15" customHeight="1"/>
  <cols>
    <col min="1" max="1" width="3.5" style="70" customWidth="1"/>
    <col min="2" max="2" width="52.6640625" style="70" bestFit="1" customWidth="1"/>
    <col min="3" max="3" width="11.6640625" style="70" customWidth="1"/>
    <col min="4" max="4" width="12.5" style="70" bestFit="1" customWidth="1"/>
    <col min="5" max="5" width="12.5" style="76" bestFit="1" customWidth="1"/>
    <col min="6" max="6" width="13.83203125" style="76" bestFit="1" customWidth="1"/>
    <col min="7" max="10" width="13.83203125" style="70" bestFit="1" customWidth="1"/>
    <col min="11" max="12" width="11.1640625" style="70" customWidth="1"/>
    <col min="13" max="16384" width="14.5" style="70"/>
  </cols>
  <sheetData>
    <row r="1" spans="1:12" ht="14.25" customHeight="1">
      <c r="A1" s="92"/>
      <c r="B1" s="93"/>
      <c r="C1" s="93"/>
      <c r="D1" s="93"/>
      <c r="E1" s="93"/>
      <c r="F1" s="93"/>
      <c r="G1" s="93"/>
      <c r="H1" s="93"/>
      <c r="I1" s="93"/>
      <c r="J1" s="93"/>
      <c r="K1" s="94"/>
      <c r="L1" s="94"/>
    </row>
    <row r="2" spans="1:12" ht="14.25" customHeight="1">
      <c r="A2" s="95" t="s">
        <v>0</v>
      </c>
      <c r="B2" s="96" t="s">
        <v>650</v>
      </c>
      <c r="C2" s="97"/>
      <c r="D2" s="97"/>
      <c r="E2" s="97"/>
      <c r="F2" s="97"/>
      <c r="G2" s="97"/>
      <c r="H2" s="97"/>
      <c r="I2" s="97"/>
      <c r="J2" s="97"/>
      <c r="K2" s="94"/>
      <c r="L2" s="94"/>
    </row>
    <row r="3" spans="1:12" ht="14" customHeight="1">
      <c r="A3" s="92"/>
      <c r="B3" s="83" t="s">
        <v>2</v>
      </c>
      <c r="K3" s="94"/>
      <c r="L3" s="94"/>
    </row>
    <row r="4" spans="1:12" ht="14">
      <c r="A4" s="92"/>
      <c r="B4" s="83"/>
      <c r="K4" s="94"/>
      <c r="L4" s="94"/>
    </row>
    <row r="5" spans="1:12" ht="14">
      <c r="A5" s="92"/>
      <c r="B5" s="75" t="s">
        <v>3</v>
      </c>
      <c r="C5" s="98">
        <v>2</v>
      </c>
      <c r="K5" s="94"/>
      <c r="L5" s="94"/>
    </row>
    <row r="6" spans="1:12" ht="14.25" customHeight="1">
      <c r="A6" s="92"/>
      <c r="B6" s="83"/>
      <c r="K6" s="94"/>
      <c r="L6" s="94"/>
    </row>
    <row r="7" spans="1:12" ht="14.25" customHeight="1">
      <c r="A7" s="92"/>
      <c r="B7" s="83" t="s">
        <v>4</v>
      </c>
      <c r="C7" s="99">
        <v>2022</v>
      </c>
      <c r="D7" s="99">
        <f t="shared" ref="D7:J7" si="0">C7+1</f>
        <v>2023</v>
      </c>
      <c r="E7" s="295">
        <f t="shared" si="0"/>
        <v>2024</v>
      </c>
      <c r="F7" s="100">
        <f t="shared" si="0"/>
        <v>2025</v>
      </c>
      <c r="G7" s="100">
        <f t="shared" si="0"/>
        <v>2026</v>
      </c>
      <c r="H7" s="100">
        <f t="shared" si="0"/>
        <v>2027</v>
      </c>
      <c r="I7" s="100">
        <f t="shared" si="0"/>
        <v>2028</v>
      </c>
      <c r="J7" s="100">
        <f t="shared" si="0"/>
        <v>2029</v>
      </c>
      <c r="K7" s="94"/>
      <c r="L7" s="94"/>
    </row>
    <row r="8" spans="1:12" ht="14.25" customHeight="1">
      <c r="A8" s="92"/>
      <c r="B8" s="101"/>
      <c r="C8" s="101"/>
      <c r="D8" s="102"/>
      <c r="E8" s="296"/>
      <c r="F8" s="102"/>
      <c r="G8" s="102"/>
      <c r="H8" s="102"/>
      <c r="I8" s="102"/>
      <c r="J8" s="102"/>
      <c r="K8" s="94"/>
      <c r="L8" s="94"/>
    </row>
    <row r="9" spans="1:12" ht="14.25" hidden="1" customHeight="1">
      <c r="A9" s="92"/>
      <c r="B9" s="103" t="s">
        <v>5</v>
      </c>
      <c r="C9" s="104" t="s">
        <v>6</v>
      </c>
      <c r="D9" s="104"/>
      <c r="E9" s="297"/>
      <c r="F9" s="104"/>
      <c r="G9" s="104"/>
      <c r="H9" s="104"/>
      <c r="I9" s="104"/>
      <c r="J9" s="104"/>
      <c r="K9" s="94"/>
      <c r="L9" s="94"/>
    </row>
    <row r="10" spans="1:12" ht="14.25" hidden="1" customHeight="1">
      <c r="A10" s="92"/>
      <c r="B10" s="103" t="s">
        <v>7</v>
      </c>
      <c r="C10" s="104"/>
      <c r="D10" s="104"/>
      <c r="E10" s="297"/>
      <c r="F10" s="104"/>
      <c r="G10" s="104"/>
      <c r="H10" s="104"/>
      <c r="I10" s="104"/>
      <c r="J10" s="104"/>
      <c r="K10" s="94"/>
      <c r="L10" s="94"/>
    </row>
    <row r="11" spans="1:12" ht="14" hidden="1">
      <c r="A11" s="105"/>
      <c r="B11" s="106" t="s">
        <v>8</v>
      </c>
      <c r="C11" s="108">
        <f>'Income Statement + Forecast'!C21</f>
        <v>972.47500000000002</v>
      </c>
      <c r="D11" s="108">
        <f>'Income Statement + Forecast'!D21</f>
        <v>1225.22</v>
      </c>
      <c r="E11" s="298">
        <f>'Income Statement + Forecast'!E21</f>
        <v>1263.626</v>
      </c>
      <c r="F11" s="108">
        <f>'Income Statement + Forecast'!F21</f>
        <v>1375.8749457654417</v>
      </c>
      <c r="G11" s="109">
        <f>'Income Statement + Forecast'!G21</f>
        <v>1575.6166669849199</v>
      </c>
      <c r="H11" s="109">
        <f>'Income Statement + Forecast'!H21</f>
        <v>1732.050019339355</v>
      </c>
      <c r="I11" s="109">
        <f>'Income Statement + Forecast'!I21</f>
        <v>1937.0613303841574</v>
      </c>
      <c r="J11" s="109">
        <f>'Income Statement + Forecast'!J21</f>
        <v>2188.4462526190123</v>
      </c>
    </row>
    <row r="12" spans="1:12" ht="14.25" hidden="1" customHeight="1">
      <c r="A12" s="110"/>
      <c r="B12" s="111" t="s">
        <v>9</v>
      </c>
      <c r="C12" s="113"/>
      <c r="D12" s="113">
        <f t="shared" ref="D12:J12" si="1">D11/C11-1</f>
        <v>0.25989871204915294</v>
      </c>
      <c r="E12" s="299">
        <f t="shared" si="1"/>
        <v>3.1346207211766064E-2</v>
      </c>
      <c r="F12" s="283">
        <f>F11/E11-1</f>
        <v>8.8830829506073572E-2</v>
      </c>
      <c r="G12" s="114">
        <f>G11/F11-1</f>
        <v>0.14517432840406563</v>
      </c>
      <c r="H12" s="114">
        <f t="shared" si="1"/>
        <v>9.9283890321993029E-2</v>
      </c>
      <c r="I12" s="114">
        <f t="shared" si="1"/>
        <v>0.11836338948398195</v>
      </c>
      <c r="J12" s="114">
        <f t="shared" si="1"/>
        <v>0.12977643933710681</v>
      </c>
      <c r="K12" s="94"/>
      <c r="L12" s="94"/>
    </row>
    <row r="13" spans="1:12" ht="14" hidden="1">
      <c r="A13" s="105"/>
      <c r="B13" s="106" t="s">
        <v>10</v>
      </c>
      <c r="C13" s="108">
        <f>'Income Statement + Forecast'!C39</f>
        <v>1255.212</v>
      </c>
      <c r="D13" s="108">
        <f>'Income Statement + Forecast'!D39</f>
        <v>1770.1849999999999</v>
      </c>
      <c r="E13" s="298">
        <f>'Income Statement + Forecast'!E39</f>
        <v>2639.3539999999998</v>
      </c>
      <c r="F13" s="108">
        <f>'Income Statement + Forecast'!F39</f>
        <v>3194.2330541452993</v>
      </c>
      <c r="G13" s="109">
        <f>'Income Statement + Forecast'!G39</f>
        <v>3804.4353842597088</v>
      </c>
      <c r="H13" s="109">
        <f>'Income Statement + Forecast'!H39</f>
        <v>4542.6668654012965</v>
      </c>
      <c r="I13" s="109">
        <f>'Income Statement + Forecast'!I39</f>
        <v>5457.8679292829447</v>
      </c>
      <c r="J13" s="109">
        <f>'Income Statement + Forecast'!J39</f>
        <v>6629.9449065434583</v>
      </c>
    </row>
    <row r="14" spans="1:12" ht="14.25" hidden="1" customHeight="1">
      <c r="A14" s="110"/>
      <c r="B14" s="111" t="s">
        <v>9</v>
      </c>
      <c r="C14" s="113"/>
      <c r="D14" s="113">
        <f t="shared" ref="D14:J14" si="2">D13/C13-1</f>
        <v>0.4102677475996086</v>
      </c>
      <c r="E14" s="299">
        <f t="shared" si="2"/>
        <v>0.49100461251225158</v>
      </c>
      <c r="F14" s="284">
        <f>F13/E13-1</f>
        <v>0.21023290325788024</v>
      </c>
      <c r="G14" s="114">
        <f t="shared" si="2"/>
        <v>0.19103250131436789</v>
      </c>
      <c r="H14" s="114">
        <f t="shared" si="2"/>
        <v>0.19404495189901549</v>
      </c>
      <c r="I14" s="114">
        <f t="shared" si="2"/>
        <v>0.20146779215798816</v>
      </c>
      <c r="J14" s="114">
        <f t="shared" si="2"/>
        <v>0.21474997058320189</v>
      </c>
      <c r="K14" s="94"/>
      <c r="L14" s="94"/>
    </row>
    <row r="15" spans="1:12" ht="14.25" hidden="1" customHeight="1">
      <c r="A15" s="92"/>
      <c r="B15" s="115" t="s">
        <v>11</v>
      </c>
      <c r="C15" s="116">
        <f>SUM(C13,C11)</f>
        <v>2227.6869999999999</v>
      </c>
      <c r="D15" s="116">
        <f t="shared" ref="D15:J15" si="3">SUM(D13,D11)</f>
        <v>2995.4049999999997</v>
      </c>
      <c r="E15" s="300">
        <f t="shared" si="3"/>
        <v>3902.9799999999996</v>
      </c>
      <c r="F15" s="116">
        <f t="shared" si="3"/>
        <v>4570.1079999107405</v>
      </c>
      <c r="G15" s="116">
        <f t="shared" si="3"/>
        <v>5380.0520512446292</v>
      </c>
      <c r="H15" s="116">
        <f t="shared" si="3"/>
        <v>6274.7168847406519</v>
      </c>
      <c r="I15" s="116">
        <f t="shared" si="3"/>
        <v>7394.9292596671021</v>
      </c>
      <c r="J15" s="116">
        <f t="shared" si="3"/>
        <v>8818.391159162471</v>
      </c>
      <c r="K15" s="94"/>
      <c r="L15" s="94"/>
    </row>
    <row r="16" spans="1:12" ht="14.25" hidden="1" customHeight="1">
      <c r="A16" s="92"/>
      <c r="B16" s="111" t="s">
        <v>9</v>
      </c>
      <c r="C16" s="118"/>
      <c r="D16" s="118">
        <f t="shared" ref="D16:J16" si="4">D15/C15-1</f>
        <v>0.34462561392152491</v>
      </c>
      <c r="E16" s="301">
        <f t="shared" si="4"/>
        <v>0.30298907827155253</v>
      </c>
      <c r="F16" s="285">
        <f t="shared" si="4"/>
        <v>0.17092785510321362</v>
      </c>
      <c r="G16" s="119">
        <f t="shared" si="4"/>
        <v>0.17722645752566635</v>
      </c>
      <c r="H16" s="119">
        <f t="shared" si="4"/>
        <v>0.16629296984014297</v>
      </c>
      <c r="I16" s="119">
        <f t="shared" si="4"/>
        <v>0.1785279552055441</v>
      </c>
      <c r="J16" s="119">
        <f t="shared" si="4"/>
        <v>0.19249161817667604</v>
      </c>
      <c r="K16" s="94"/>
      <c r="L16" s="94"/>
    </row>
    <row r="17" spans="1:12" ht="14.25" hidden="1" customHeight="1">
      <c r="A17" s="92"/>
      <c r="B17" s="120"/>
      <c r="C17" s="117"/>
      <c r="D17" s="117"/>
      <c r="E17" s="302"/>
      <c r="F17" s="286"/>
      <c r="G17" s="101"/>
      <c r="H17" s="101"/>
      <c r="I17" s="101"/>
      <c r="J17" s="101"/>
      <c r="K17" s="94"/>
      <c r="L17" s="94"/>
    </row>
    <row r="18" spans="1:12" ht="14.25" hidden="1" customHeight="1">
      <c r="A18" s="92"/>
      <c r="B18" s="120" t="s">
        <v>12</v>
      </c>
      <c r="C18" s="121">
        <f t="shared" ref="C18:J18" si="5">C11/C15</f>
        <v>0.4365402320882602</v>
      </c>
      <c r="D18" s="121">
        <f t="shared" si="5"/>
        <v>0.40903316913739551</v>
      </c>
      <c r="E18" s="303">
        <f t="shared" si="5"/>
        <v>0.32375928136962018</v>
      </c>
      <c r="F18" s="287">
        <f t="shared" si="5"/>
        <v>0.30105961298777056</v>
      </c>
      <c r="G18" s="121">
        <f t="shared" si="5"/>
        <v>0.29286271805128994</v>
      </c>
      <c r="H18" s="121">
        <f t="shared" si="5"/>
        <v>0.27603636166461787</v>
      </c>
      <c r="I18" s="121">
        <f t="shared" si="5"/>
        <v>0.2619445382593637</v>
      </c>
      <c r="J18" s="121">
        <f t="shared" si="5"/>
        <v>0.24816842586361984</v>
      </c>
      <c r="K18" s="94"/>
      <c r="L18" s="94"/>
    </row>
    <row r="19" spans="1:12" ht="14.25" hidden="1" customHeight="1">
      <c r="A19" s="92"/>
      <c r="B19" s="120" t="s">
        <v>13</v>
      </c>
      <c r="C19" s="121">
        <f t="shared" ref="C19:J19" si="6">C13/C15</f>
        <v>0.56345976791173991</v>
      </c>
      <c r="D19" s="121">
        <f t="shared" si="6"/>
        <v>0.5909668308626046</v>
      </c>
      <c r="E19" s="303">
        <f t="shared" si="6"/>
        <v>0.67624071863037993</v>
      </c>
      <c r="F19" s="287">
        <f t="shared" si="6"/>
        <v>0.6989403870122296</v>
      </c>
      <c r="G19" s="121">
        <f t="shared" si="6"/>
        <v>0.70713728194870995</v>
      </c>
      <c r="H19" s="121">
        <f t="shared" si="6"/>
        <v>0.72396363833538202</v>
      </c>
      <c r="I19" s="121">
        <f t="shared" si="6"/>
        <v>0.7380554617406363</v>
      </c>
      <c r="J19" s="121">
        <f t="shared" si="6"/>
        <v>0.75183157413638013</v>
      </c>
      <c r="K19" s="94"/>
      <c r="L19" s="94"/>
    </row>
    <row r="20" spans="1:12" ht="14.25" hidden="1" customHeight="1">
      <c r="A20" s="92"/>
      <c r="B20" s="120"/>
      <c r="C20" s="121"/>
      <c r="D20" s="121"/>
      <c r="E20" s="303"/>
      <c r="F20" s="286"/>
      <c r="G20" s="101"/>
      <c r="H20" s="101"/>
      <c r="I20" s="101"/>
      <c r="J20" s="101"/>
      <c r="K20" s="94"/>
      <c r="L20" s="94"/>
    </row>
    <row r="21" spans="1:12" ht="14.25" hidden="1" customHeight="1">
      <c r="A21" s="92"/>
      <c r="B21" s="112" t="s">
        <v>14</v>
      </c>
      <c r="C21" s="101"/>
      <c r="D21" s="101"/>
      <c r="E21" s="304"/>
      <c r="F21" s="286"/>
      <c r="G21" s="101"/>
      <c r="H21" s="101"/>
      <c r="I21" s="101"/>
      <c r="J21" s="101"/>
      <c r="K21" s="94"/>
      <c r="L21" s="94"/>
    </row>
    <row r="22" spans="1:12" ht="14.25" customHeight="1">
      <c r="A22" s="92"/>
      <c r="B22" s="103" t="s">
        <v>15</v>
      </c>
      <c r="C22" s="122"/>
      <c r="D22" s="122"/>
      <c r="E22" s="305"/>
      <c r="F22" s="122"/>
      <c r="G22" s="122"/>
      <c r="H22" s="122"/>
      <c r="I22" s="122"/>
      <c r="J22" s="122"/>
      <c r="K22" s="94"/>
      <c r="L22" s="94"/>
    </row>
    <row r="23" spans="1:12" ht="14.25" customHeight="1">
      <c r="A23" s="92"/>
      <c r="B23" s="120" t="s">
        <v>16</v>
      </c>
      <c r="C23" s="123">
        <f>'Income Statement + Forecast'!C42</f>
        <v>1345.5630000000001</v>
      </c>
      <c r="D23" s="123">
        <f>'Income Statement + Forecast'!D42</f>
        <v>1814.617</v>
      </c>
      <c r="E23" s="306">
        <f>'Income Statement + Forecast'!E42</f>
        <v>2355.9430000000002</v>
      </c>
      <c r="F23" s="288">
        <f t="shared" ref="F23:J23" si="7">F15*F24</f>
        <v>2604.9615599491217</v>
      </c>
      <c r="G23" s="124">
        <f t="shared" si="7"/>
        <v>3120.4301897218847</v>
      </c>
      <c r="H23" s="124">
        <f t="shared" si="7"/>
        <v>3702.0829619969845</v>
      </c>
      <c r="I23" s="124">
        <f t="shared" si="7"/>
        <v>4436.9575558002607</v>
      </c>
      <c r="J23" s="124">
        <f t="shared" si="7"/>
        <v>5379.2186070891075</v>
      </c>
      <c r="K23" s="94"/>
      <c r="L23" s="94"/>
    </row>
    <row r="24" spans="1:12" ht="14.25" customHeight="1">
      <c r="A24" s="92"/>
      <c r="B24" s="111" t="s">
        <v>17</v>
      </c>
      <c r="C24" s="121">
        <f t="shared" ref="C24:E24" si="8">C23/C15</f>
        <v>0.60401797918648359</v>
      </c>
      <c r="D24" s="121">
        <f t="shared" si="8"/>
        <v>0.60580021733288159</v>
      </c>
      <c r="E24" s="303">
        <f t="shared" si="8"/>
        <v>0.60362671599649509</v>
      </c>
      <c r="F24" s="289">
        <f>CHOOSE($C$5,F25,F26,F27)</f>
        <v>0.56999999999999995</v>
      </c>
      <c r="G24" s="125">
        <f>CHOOSE($C$5,G25,G26,G27)</f>
        <v>0.57999999999999996</v>
      </c>
      <c r="H24" s="125">
        <f>CHOOSE($C$5,H25,H26,H27)</f>
        <v>0.59</v>
      </c>
      <c r="I24" s="125">
        <f>CHOOSE($C$5,I25,I26,I27)</f>
        <v>0.6</v>
      </c>
      <c r="J24" s="125">
        <f>CHOOSE($C$5,J25,J26,J27)</f>
        <v>0.61</v>
      </c>
      <c r="K24" s="94"/>
      <c r="L24" s="94"/>
    </row>
    <row r="25" spans="1:12" ht="14.25" customHeight="1">
      <c r="A25" s="92"/>
      <c r="B25" s="126" t="s">
        <v>18</v>
      </c>
      <c r="C25" s="102"/>
      <c r="D25" s="102"/>
      <c r="E25" s="307"/>
      <c r="F25" s="127">
        <f t="shared" ref="F25:J25" si="9">F26+0.01</f>
        <v>0.57999999999999996</v>
      </c>
      <c r="G25" s="127">
        <f t="shared" si="9"/>
        <v>0.59</v>
      </c>
      <c r="H25" s="127">
        <f t="shared" si="9"/>
        <v>0.6</v>
      </c>
      <c r="I25" s="127">
        <f t="shared" si="9"/>
        <v>0.61</v>
      </c>
      <c r="J25" s="127">
        <f t="shared" si="9"/>
        <v>0.62</v>
      </c>
      <c r="K25" s="94"/>
      <c r="L25" s="94"/>
    </row>
    <row r="26" spans="1:12" ht="14.25" customHeight="1">
      <c r="A26" s="92"/>
      <c r="B26" s="128" t="s">
        <v>19</v>
      </c>
      <c r="C26" s="101"/>
      <c r="D26" s="101"/>
      <c r="E26" s="308"/>
      <c r="F26" s="289">
        <f>60%-3%</f>
        <v>0.56999999999999995</v>
      </c>
      <c r="G26" s="125">
        <f t="shared" ref="G26:J26" si="10">F26+0.01</f>
        <v>0.57999999999999996</v>
      </c>
      <c r="H26" s="125">
        <f t="shared" si="10"/>
        <v>0.59</v>
      </c>
      <c r="I26" s="125">
        <f t="shared" si="10"/>
        <v>0.6</v>
      </c>
      <c r="J26" s="125">
        <f t="shared" si="10"/>
        <v>0.61</v>
      </c>
      <c r="K26" s="94"/>
      <c r="L26" s="94"/>
    </row>
    <row r="27" spans="1:12" ht="14.25" customHeight="1">
      <c r="A27" s="92"/>
      <c r="B27" s="129" t="s">
        <v>20</v>
      </c>
      <c r="C27" s="130"/>
      <c r="D27" s="130"/>
      <c r="E27" s="309"/>
      <c r="F27" s="131">
        <f t="shared" ref="F27:J27" si="11">F26-0.01</f>
        <v>0.55999999999999994</v>
      </c>
      <c r="G27" s="131">
        <f t="shared" si="11"/>
        <v>0.56999999999999995</v>
      </c>
      <c r="H27" s="131">
        <f t="shared" si="11"/>
        <v>0.57999999999999996</v>
      </c>
      <c r="I27" s="131">
        <f t="shared" si="11"/>
        <v>0.59</v>
      </c>
      <c r="J27" s="131">
        <f t="shared" si="11"/>
        <v>0.6</v>
      </c>
      <c r="K27" s="94"/>
      <c r="L27" s="94"/>
    </row>
    <row r="28" spans="1:12" ht="14.25" customHeight="1">
      <c r="A28" s="92"/>
      <c r="B28" s="111"/>
      <c r="C28" s="132"/>
      <c r="D28" s="132"/>
      <c r="E28" s="310"/>
      <c r="F28" s="281"/>
      <c r="G28" s="134"/>
      <c r="H28" s="134"/>
      <c r="I28" s="134"/>
      <c r="J28" s="134"/>
      <c r="K28" s="94"/>
      <c r="L28" s="94"/>
    </row>
    <row r="29" spans="1:12" ht="14.25" customHeight="1">
      <c r="A29" s="92"/>
      <c r="B29" s="112" t="s">
        <v>21</v>
      </c>
      <c r="C29" s="125"/>
      <c r="D29" s="125"/>
      <c r="E29" s="311"/>
      <c r="F29" s="289"/>
      <c r="G29" s="125"/>
      <c r="H29" s="125"/>
      <c r="I29" s="125"/>
      <c r="J29" s="125"/>
      <c r="K29" s="94"/>
      <c r="L29" s="94"/>
    </row>
    <row r="30" spans="1:12" ht="14.25" customHeight="1">
      <c r="A30" s="92"/>
      <c r="B30" s="103" t="s">
        <v>22</v>
      </c>
      <c r="C30" s="104"/>
      <c r="D30" s="104"/>
      <c r="E30" s="297"/>
      <c r="F30" s="104"/>
      <c r="G30" s="104"/>
      <c r="H30" s="104"/>
      <c r="I30" s="104"/>
      <c r="J30" s="104"/>
      <c r="K30" s="94"/>
      <c r="L30" s="94"/>
    </row>
    <row r="31" spans="1:12" ht="14.25" customHeight="1">
      <c r="A31" s="92"/>
      <c r="B31" s="135" t="s">
        <v>224</v>
      </c>
      <c r="C31" s="136">
        <f>'Income Statement + Forecast'!C46</f>
        <v>76.061000000000007</v>
      </c>
      <c r="D31" s="136">
        <f>'Income Statement + Forecast'!D46</f>
        <v>95.772999999999996</v>
      </c>
      <c r="E31" s="306">
        <f>'Income Statement + Forecast'!E46</f>
        <v>111.265</v>
      </c>
      <c r="F31" s="290">
        <f>F15*F32</f>
        <v>144.14805568396895</v>
      </c>
      <c r="G31" s="137">
        <f>G15*G32</f>
        <v>165.02862922274136</v>
      </c>
      <c r="H31" s="137">
        <f>H15*H32</f>
        <v>189.75449290016323</v>
      </c>
      <c r="I31" s="137">
        <f>I15*I32</f>
        <v>227.90381362231889</v>
      </c>
      <c r="J31" s="137">
        <f>J15*J32</f>
        <v>269.64942547202344</v>
      </c>
      <c r="K31" s="94"/>
      <c r="L31" s="94"/>
    </row>
    <row r="32" spans="1:12" ht="14.25" customHeight="1">
      <c r="A32" s="92"/>
      <c r="B32" s="135" t="s">
        <v>17</v>
      </c>
      <c r="C32" s="121">
        <f t="shared" ref="C32:E32" si="12">C31/C$15</f>
        <v>3.4143486046289272E-2</v>
      </c>
      <c r="D32" s="121">
        <f t="shared" si="12"/>
        <v>3.197330578001973E-2</v>
      </c>
      <c r="E32" s="303">
        <f t="shared" si="12"/>
        <v>2.8507704369481784E-2</v>
      </c>
      <c r="F32" s="289">
        <f>CHOOSE($C$5,F33,F34,F35)</f>
        <v>3.1541498731930261E-2</v>
      </c>
      <c r="G32" s="125">
        <f>CHOOSE($C$5,G33,G34,G35)</f>
        <v>3.0674169627143921E-2</v>
      </c>
      <c r="H32" s="125">
        <f>CHOOSE($C$5,H33,H34,H35)</f>
        <v>3.0241124242851986E-2</v>
      </c>
      <c r="I32" s="125">
        <f>CHOOSE($C$5,I33,I34,I35)</f>
        <v>3.0818930867308723E-2</v>
      </c>
      <c r="J32" s="125">
        <f>CHOOSE($C$5,J33,J34,J35)</f>
        <v>3.0578074912434874E-2</v>
      </c>
      <c r="K32" s="94"/>
      <c r="L32" s="94"/>
    </row>
    <row r="33" spans="1:12" ht="14.25" customHeight="1">
      <c r="A33" s="92"/>
      <c r="B33" s="126" t="s">
        <v>18</v>
      </c>
      <c r="C33" s="102"/>
      <c r="D33" s="102"/>
      <c r="E33" s="307"/>
      <c r="F33" s="127">
        <f t="shared" ref="F33:J33" si="13">F34+0.004</f>
        <v>3.5541498731930257E-2</v>
      </c>
      <c r="G33" s="127">
        <f t="shared" si="13"/>
        <v>3.4674169627143925E-2</v>
      </c>
      <c r="H33" s="127">
        <f t="shared" si="13"/>
        <v>3.4241124242851986E-2</v>
      </c>
      <c r="I33" s="127">
        <f t="shared" si="13"/>
        <v>3.4818930867308723E-2</v>
      </c>
      <c r="J33" s="127">
        <f t="shared" si="13"/>
        <v>3.4578074912434878E-2</v>
      </c>
      <c r="K33" s="94"/>
      <c r="L33" s="94"/>
    </row>
    <row r="34" spans="1:12" ht="14.25" customHeight="1">
      <c r="A34" s="92"/>
      <c r="B34" s="128" t="s">
        <v>19</v>
      </c>
      <c r="C34" s="101"/>
      <c r="D34" s="101"/>
      <c r="E34" s="308"/>
      <c r="F34" s="289">
        <f>AVERAGE(C32:E32)</f>
        <v>3.1541498731930261E-2</v>
      </c>
      <c r="G34" s="133">
        <f>AVERAGE(F34,E32,D32)</f>
        <v>3.0674169627143921E-2</v>
      </c>
      <c r="H34" s="133">
        <f>AVERAGE(G34,F34,E32)</f>
        <v>3.0241124242851986E-2</v>
      </c>
      <c r="I34" s="133">
        <f t="shared" ref="I34:J34" si="14">AVERAGE(F34:H34)</f>
        <v>3.0818930867308723E-2</v>
      </c>
      <c r="J34" s="133">
        <f t="shared" si="14"/>
        <v>3.0578074912434874E-2</v>
      </c>
      <c r="K34" s="94"/>
      <c r="L34" s="94"/>
    </row>
    <row r="35" spans="1:12" ht="14.25" customHeight="1">
      <c r="A35" s="92"/>
      <c r="B35" s="129" t="s">
        <v>20</v>
      </c>
      <c r="C35" s="130"/>
      <c r="D35" s="130"/>
      <c r="E35" s="309"/>
      <c r="F35" s="131">
        <f t="shared" ref="F35:J35" si="15">F34-0.004</f>
        <v>2.7541498731930261E-2</v>
      </c>
      <c r="G35" s="131">
        <f t="shared" si="15"/>
        <v>2.6674169627143921E-2</v>
      </c>
      <c r="H35" s="131">
        <f t="shared" si="15"/>
        <v>2.6241124242851986E-2</v>
      </c>
      <c r="I35" s="131">
        <f t="shared" si="15"/>
        <v>2.6818930867308723E-2</v>
      </c>
      <c r="J35" s="131">
        <f t="shared" si="15"/>
        <v>2.6578074912434874E-2</v>
      </c>
      <c r="K35" s="94"/>
      <c r="L35" s="94"/>
    </row>
    <row r="36" spans="1:12" ht="14.25" customHeight="1">
      <c r="A36" s="92"/>
      <c r="B36" s="111"/>
      <c r="C36" s="101"/>
      <c r="D36" s="101"/>
      <c r="E36" s="308"/>
      <c r="F36" s="281"/>
      <c r="G36" s="134"/>
      <c r="H36" s="134"/>
      <c r="I36" s="134"/>
      <c r="J36" s="134"/>
      <c r="K36" s="94"/>
      <c r="L36" s="94"/>
    </row>
    <row r="37" spans="1:12" ht="14.25" customHeight="1">
      <c r="A37" s="92"/>
      <c r="B37" s="135" t="s">
        <v>225</v>
      </c>
      <c r="C37" s="123">
        <f>'Income Statement + Forecast'!C47</f>
        <v>12.646000000000001</v>
      </c>
      <c r="D37" s="123">
        <f>'Income Statement + Forecast'!D47</f>
        <v>15.475</v>
      </c>
      <c r="E37" s="306">
        <f>'Income Statement + Forecast'!E47</f>
        <v>18.774999999999999</v>
      </c>
      <c r="F37" s="290">
        <f>F$15*F38</f>
        <v>23.845929706384631</v>
      </c>
      <c r="G37" s="137">
        <f t="shared" ref="G37:J37" si="16">G$15*G38</f>
        <v>60.352371662121016</v>
      </c>
      <c r="H37" s="137">
        <f t="shared" si="16"/>
        <v>108.03684809115511</v>
      </c>
      <c r="I37" s="137">
        <f t="shared" si="16"/>
        <v>171.69402122572362</v>
      </c>
      <c r="J37" s="137">
        <f t="shared" si="16"/>
        <v>257.65402815769852</v>
      </c>
      <c r="K37" s="94"/>
      <c r="L37" s="94"/>
    </row>
    <row r="38" spans="1:12" ht="14.25" customHeight="1">
      <c r="A38" s="92"/>
      <c r="B38" s="135" t="s">
        <v>17</v>
      </c>
      <c r="C38" s="121">
        <f t="shared" ref="C38:E38" si="17">C37/C$15</f>
        <v>5.6767400447190301E-3</v>
      </c>
      <c r="D38" s="121">
        <f t="shared" si="17"/>
        <v>5.1662463005837274E-3</v>
      </c>
      <c r="E38" s="303">
        <f t="shared" si="17"/>
        <v>4.810426904570354E-3</v>
      </c>
      <c r="F38" s="289">
        <f>CHOOSE($C$5,F39,F40,F41)</f>
        <v>5.2178044166243708E-3</v>
      </c>
      <c r="G38" s="125">
        <f>CHOOSE($C$5,G39,G40,G41)</f>
        <v>1.1217804416624372E-2</v>
      </c>
      <c r="H38" s="125">
        <f>CHOOSE($C$5,H39,H40,H41)</f>
        <v>1.721780441662437E-2</v>
      </c>
      <c r="I38" s="125">
        <f>CHOOSE($C$5,I39,I40,I41)</f>
        <v>2.3217804416624369E-2</v>
      </c>
      <c r="J38" s="125">
        <f>CHOOSE($C$5,J39,J40,J41)</f>
        <v>2.9217804416624367E-2</v>
      </c>
      <c r="K38" s="94"/>
      <c r="L38" s="94"/>
    </row>
    <row r="39" spans="1:12" ht="14.25" customHeight="1">
      <c r="A39" s="92"/>
      <c r="B39" s="126" t="s">
        <v>18</v>
      </c>
      <c r="C39" s="102"/>
      <c r="D39" s="102"/>
      <c r="E39" s="307"/>
      <c r="F39" s="127">
        <f>F40+0.002</f>
        <v>7.2178044166243708E-3</v>
      </c>
      <c r="G39" s="127">
        <f>G40+0.002</f>
        <v>1.3217804416624372E-2</v>
      </c>
      <c r="H39" s="127">
        <f>H40+0.002</f>
        <v>1.9217804416624372E-2</v>
      </c>
      <c r="I39" s="127">
        <f>I40+0.002</f>
        <v>2.521780441662437E-2</v>
      </c>
      <c r="J39" s="127">
        <f>J40+0.002</f>
        <v>3.1217804416624369E-2</v>
      </c>
      <c r="K39" s="94"/>
      <c r="L39" s="94"/>
    </row>
    <row r="40" spans="1:12" ht="14.25" customHeight="1">
      <c r="A40" s="92"/>
      <c r="B40" s="128" t="s">
        <v>19</v>
      </c>
      <c r="C40" s="101"/>
      <c r="D40" s="101"/>
      <c r="E40" s="308"/>
      <c r="F40" s="281">
        <f>AVERAGE(C38:E38)</f>
        <v>5.2178044166243708E-3</v>
      </c>
      <c r="G40" s="125">
        <f>F40+0.006</f>
        <v>1.1217804416624372E-2</v>
      </c>
      <c r="H40" s="125">
        <f t="shared" ref="H40:J40" si="18">G40+0.006</f>
        <v>1.721780441662437E-2</v>
      </c>
      <c r="I40" s="125">
        <f t="shared" si="18"/>
        <v>2.3217804416624369E-2</v>
      </c>
      <c r="J40" s="125">
        <f t="shared" si="18"/>
        <v>2.9217804416624367E-2</v>
      </c>
      <c r="K40" s="94"/>
      <c r="L40" s="94"/>
    </row>
    <row r="41" spans="1:12" ht="14.25" customHeight="1">
      <c r="A41" s="92"/>
      <c r="B41" s="129" t="s">
        <v>20</v>
      </c>
      <c r="C41" s="130"/>
      <c r="D41" s="130"/>
      <c r="E41" s="309"/>
      <c r="F41" s="131">
        <f>F40-0.002</f>
        <v>3.2178044166243707E-3</v>
      </c>
      <c r="G41" s="131">
        <f>G40-0.002</f>
        <v>9.2178044166243717E-3</v>
      </c>
      <c r="H41" s="131">
        <f>H40-0.002</f>
        <v>1.521780441662437E-2</v>
      </c>
      <c r="I41" s="131">
        <f>I40-0.002</f>
        <v>2.1217804416624367E-2</v>
      </c>
      <c r="J41" s="131">
        <f>J40-0.002</f>
        <v>2.7217804416624365E-2</v>
      </c>
      <c r="K41" s="94"/>
      <c r="L41" s="94"/>
    </row>
    <row r="42" spans="1:12" ht="14.25" customHeight="1">
      <c r="A42" s="92"/>
      <c r="B42" s="111"/>
      <c r="C42" s="101"/>
      <c r="D42" s="101"/>
      <c r="E42" s="308"/>
      <c r="F42" s="281"/>
      <c r="G42" s="134"/>
      <c r="H42" s="134"/>
      <c r="I42" s="134"/>
      <c r="J42" s="134"/>
      <c r="K42" s="94"/>
      <c r="L42" s="94"/>
    </row>
    <row r="43" spans="1:12" ht="14.25" customHeight="1">
      <c r="A43" s="92"/>
      <c r="B43" s="135" t="s">
        <v>226</v>
      </c>
      <c r="C43" s="123">
        <f>'Income Statement + Forecast'!C48</f>
        <v>365.91500000000002</v>
      </c>
      <c r="D43" s="123">
        <f>'Income Statement + Forecast'!D48</f>
        <v>528.149</v>
      </c>
      <c r="E43" s="306">
        <f>'Income Statement + Forecast'!E48</f>
        <v>677.27099999999996</v>
      </c>
      <c r="F43" s="290">
        <f t="shared" ref="F43:J43" si="19">F$15*F44</f>
        <v>783.17054762093221</v>
      </c>
      <c r="G43" s="137">
        <f t="shared" si="19"/>
        <v>934.7202536724501</v>
      </c>
      <c r="H43" s="137">
        <f t="shared" si="19"/>
        <v>1084.7580857728528</v>
      </c>
      <c r="I43" s="137">
        <f t="shared" si="19"/>
        <v>1276.8178992045287</v>
      </c>
      <c r="J43" s="137">
        <f t="shared" si="19"/>
        <v>1526.3959915731587</v>
      </c>
      <c r="K43" s="94"/>
      <c r="L43" s="94"/>
    </row>
    <row r="44" spans="1:12" ht="14.25" customHeight="1">
      <c r="A44" s="92"/>
      <c r="B44" s="135" t="s">
        <v>227</v>
      </c>
      <c r="C44" s="121">
        <f t="shared" ref="C44:E44" si="20">C43/C$15</f>
        <v>0.16425781539327564</v>
      </c>
      <c r="D44" s="121">
        <f t="shared" si="20"/>
        <v>0.1763197297193535</v>
      </c>
      <c r="E44" s="303">
        <f t="shared" si="20"/>
        <v>0.17352663861972134</v>
      </c>
      <c r="F44" s="289">
        <f>CHOOSE($C$5,F45,F46,F47)</f>
        <v>0.17136806124411685</v>
      </c>
      <c r="G44" s="125">
        <f>CHOOSE($C$5,G45,G46,G47)</f>
        <v>0.17373814319439726</v>
      </c>
      <c r="H44" s="125">
        <f>CHOOSE($C$5,H45,H46,H47)</f>
        <v>0.17287761435274515</v>
      </c>
      <c r="I44" s="125">
        <f>CHOOSE($C$5,I45,I46,I47)</f>
        <v>0.17266127293041977</v>
      </c>
      <c r="J44" s="125">
        <f>CHOOSE($C$5,J45,J46,J47)</f>
        <v>0.17309234349252076</v>
      </c>
      <c r="K44" s="94"/>
      <c r="L44" s="94"/>
    </row>
    <row r="45" spans="1:12" ht="14.25" customHeight="1">
      <c r="A45" s="92"/>
      <c r="B45" s="126" t="s">
        <v>18</v>
      </c>
      <c r="C45" s="102"/>
      <c r="D45" s="102"/>
      <c r="E45" s="307"/>
      <c r="F45" s="127">
        <f>F46+0.01</f>
        <v>0.18136806124411686</v>
      </c>
      <c r="G45" s="127">
        <f>G46+0.01</f>
        <v>0.18373814319439727</v>
      </c>
      <c r="H45" s="127">
        <f>H46+0.01</f>
        <v>0.18287761435274516</v>
      </c>
      <c r="I45" s="127">
        <f>I46+0.01</f>
        <v>0.18266127293041978</v>
      </c>
      <c r="J45" s="127">
        <f>J46+0.01</f>
        <v>0.18309234349252076</v>
      </c>
      <c r="K45" s="94"/>
      <c r="L45" s="94"/>
    </row>
    <row r="46" spans="1:12" ht="14.25" customHeight="1">
      <c r="A46" s="92"/>
      <c r="B46" s="128" t="s">
        <v>19</v>
      </c>
      <c r="C46" s="101"/>
      <c r="D46" s="101"/>
      <c r="E46" s="308"/>
      <c r="F46" s="281">
        <f>AVERAGE(C44:E44)</f>
        <v>0.17136806124411685</v>
      </c>
      <c r="G46" s="133">
        <f>AVERAGE(F46,E44,D44)</f>
        <v>0.17373814319439726</v>
      </c>
      <c r="H46" s="133">
        <f>AVERAGE(F46:G46,E44)</f>
        <v>0.17287761435274515</v>
      </c>
      <c r="I46" s="133">
        <f t="shared" ref="I46:J46" si="21">AVERAGE(F46:H46)</f>
        <v>0.17266127293041977</v>
      </c>
      <c r="J46" s="133">
        <f t="shared" si="21"/>
        <v>0.17309234349252076</v>
      </c>
      <c r="K46" s="94"/>
      <c r="L46" s="94"/>
    </row>
    <row r="47" spans="1:12" ht="14.25" customHeight="1">
      <c r="A47" s="92"/>
      <c r="B47" s="129" t="s">
        <v>20</v>
      </c>
      <c r="C47" s="130"/>
      <c r="D47" s="130"/>
      <c r="E47" s="309"/>
      <c r="F47" s="131">
        <f>F46-0.01</f>
        <v>0.16136806124411684</v>
      </c>
      <c r="G47" s="131">
        <f>G46-0.01</f>
        <v>0.16373814319439725</v>
      </c>
      <c r="H47" s="131">
        <f>H46-0.01</f>
        <v>0.16287761435274514</v>
      </c>
      <c r="I47" s="131">
        <f>I46-0.01</f>
        <v>0.16266127293041976</v>
      </c>
      <c r="J47" s="131">
        <f>J46-0.01</f>
        <v>0.16309234349252075</v>
      </c>
      <c r="K47" s="94"/>
      <c r="L47" s="94"/>
    </row>
    <row r="48" spans="1:12" ht="14.25" customHeight="1">
      <c r="A48" s="92"/>
      <c r="B48" s="111"/>
      <c r="C48" s="101"/>
      <c r="D48" s="101"/>
      <c r="E48" s="308"/>
      <c r="F48" s="281"/>
      <c r="G48" s="134"/>
      <c r="H48" s="134"/>
      <c r="I48" s="134"/>
      <c r="J48" s="134"/>
      <c r="K48" s="94"/>
      <c r="L48" s="94"/>
    </row>
    <row r="49" spans="1:12" ht="14.25" customHeight="1">
      <c r="A49" s="92"/>
      <c r="B49" s="115" t="s">
        <v>23</v>
      </c>
      <c r="C49" s="116">
        <f t="shared" ref="C49:J49" si="22">SUM(C43,C37,C31)</f>
        <v>454.62200000000007</v>
      </c>
      <c r="D49" s="116">
        <f t="shared" si="22"/>
        <v>639.39700000000005</v>
      </c>
      <c r="E49" s="300">
        <f t="shared" si="22"/>
        <v>807.31099999999992</v>
      </c>
      <c r="F49" s="116">
        <f t="shared" si="22"/>
        <v>951.16453301128581</v>
      </c>
      <c r="G49" s="116">
        <f t="shared" si="22"/>
        <v>1160.1012545573124</v>
      </c>
      <c r="H49" s="116">
        <f t="shared" si="22"/>
        <v>1382.5494267641714</v>
      </c>
      <c r="I49" s="116">
        <f t="shared" si="22"/>
        <v>1676.4157340525712</v>
      </c>
      <c r="J49" s="116">
        <f t="shared" si="22"/>
        <v>2053.6994452028807</v>
      </c>
      <c r="K49" s="94"/>
      <c r="L49" s="94"/>
    </row>
    <row r="50" spans="1:12" ht="14.25" customHeight="1">
      <c r="A50" s="92"/>
      <c r="B50" s="111" t="s">
        <v>9</v>
      </c>
      <c r="C50" s="118"/>
      <c r="D50" s="118">
        <f t="shared" ref="D50:J50" si="23">D49/C49-1</f>
        <v>0.40643655608395535</v>
      </c>
      <c r="E50" s="301">
        <f t="shared" si="23"/>
        <v>0.26261305573845339</v>
      </c>
      <c r="F50" s="291">
        <f t="shared" si="23"/>
        <v>0.17818849614496268</v>
      </c>
      <c r="G50" s="118">
        <f t="shared" si="23"/>
        <v>0.21966412150015202</v>
      </c>
      <c r="H50" s="118">
        <f t="shared" si="23"/>
        <v>0.19174892823622014</v>
      </c>
      <c r="I50" s="118">
        <f t="shared" si="23"/>
        <v>0.21255392508909288</v>
      </c>
      <c r="J50" s="118">
        <f t="shared" si="23"/>
        <v>0.22505378796359965</v>
      </c>
      <c r="K50" s="94"/>
      <c r="L50" s="94"/>
    </row>
    <row r="51" spans="1:12" ht="14.25" customHeight="1">
      <c r="A51" s="92"/>
      <c r="B51" s="111"/>
      <c r="C51" s="118"/>
      <c r="D51" s="118"/>
      <c r="E51" s="301"/>
      <c r="F51" s="291"/>
      <c r="G51" s="118"/>
      <c r="H51" s="118"/>
      <c r="I51" s="118"/>
      <c r="J51" s="118"/>
      <c r="K51" s="94"/>
      <c r="L51" s="94"/>
    </row>
    <row r="52" spans="1:12" ht="14.25" customHeight="1">
      <c r="A52" s="95" t="s">
        <v>0</v>
      </c>
      <c r="B52" s="138" t="s">
        <v>24</v>
      </c>
      <c r="C52" s="139"/>
      <c r="D52" s="139"/>
      <c r="E52" s="312"/>
      <c r="F52" s="139"/>
      <c r="G52" s="139"/>
      <c r="H52" s="139"/>
      <c r="I52" s="139"/>
      <c r="J52" s="139"/>
      <c r="K52" s="94"/>
      <c r="L52" s="94"/>
    </row>
    <row r="53" spans="1:12" ht="14.25" customHeight="1">
      <c r="A53" s="92"/>
      <c r="B53" s="101"/>
      <c r="C53" s="101"/>
      <c r="D53" s="101"/>
      <c r="E53" s="296"/>
      <c r="F53" s="286"/>
      <c r="G53" s="101"/>
      <c r="H53" s="101"/>
      <c r="I53" s="101"/>
      <c r="J53" s="101"/>
      <c r="K53" s="94"/>
      <c r="L53" s="94"/>
    </row>
    <row r="54" spans="1:12" ht="14.25" customHeight="1">
      <c r="A54" s="92"/>
      <c r="B54" s="140" t="s">
        <v>25</v>
      </c>
      <c r="C54" s="99">
        <v>2022</v>
      </c>
      <c r="D54" s="99">
        <f t="shared" ref="D54:J54" si="24">C54+1</f>
        <v>2023</v>
      </c>
      <c r="E54" s="313">
        <f t="shared" si="24"/>
        <v>2024</v>
      </c>
      <c r="F54" s="100">
        <f t="shared" si="24"/>
        <v>2025</v>
      </c>
      <c r="G54" s="100">
        <f t="shared" si="24"/>
        <v>2026</v>
      </c>
      <c r="H54" s="100">
        <f t="shared" si="24"/>
        <v>2027</v>
      </c>
      <c r="I54" s="100">
        <f t="shared" si="24"/>
        <v>2028</v>
      </c>
      <c r="J54" s="100">
        <f t="shared" si="24"/>
        <v>2029</v>
      </c>
      <c r="K54" s="94"/>
      <c r="L54" s="94"/>
    </row>
    <row r="55" spans="1:12" ht="14.25" customHeight="1">
      <c r="A55" s="92"/>
      <c r="B55" s="101"/>
      <c r="C55" s="101"/>
      <c r="D55" s="101"/>
      <c r="E55" s="314"/>
      <c r="F55" s="102"/>
      <c r="G55" s="102"/>
      <c r="H55" s="102"/>
      <c r="I55" s="102"/>
      <c r="J55" s="102"/>
      <c r="K55" s="94"/>
      <c r="L55" s="94"/>
    </row>
    <row r="56" spans="1:12" ht="14.25" customHeight="1">
      <c r="A56" s="92"/>
      <c r="B56" s="111"/>
      <c r="C56" s="101"/>
      <c r="D56" s="101"/>
      <c r="E56" s="308"/>
      <c r="F56" s="281"/>
      <c r="G56" s="141"/>
      <c r="H56" s="141"/>
      <c r="I56" s="141"/>
      <c r="J56" s="141"/>
      <c r="K56" s="94"/>
      <c r="L56" s="94"/>
    </row>
    <row r="57" spans="1:12" ht="14.25" customHeight="1">
      <c r="A57" s="92"/>
      <c r="B57" s="101" t="s">
        <v>26</v>
      </c>
      <c r="C57" s="123">
        <f>'Balance Sheet'!I20+'Balance Sheet'!I27+'Balance Sheet'!I22-'Balance Sheet'!I63-'Balance Sheet'!I66</f>
        <v>814.96999999999991</v>
      </c>
      <c r="D57" s="123">
        <f>'Balance Sheet'!J20+'Balance Sheet'!J27+'Balance Sheet'!J22-'Balance Sheet'!J63-'Balance Sheet'!J66</f>
        <v>1319.39</v>
      </c>
      <c r="E57" s="306">
        <f>'Balance Sheet'!K20+'Balance Sheet'!K27+'Balance Sheet'!K22-'Balance Sheet'!K63-'Balance Sheet'!K66</f>
        <v>1469.21</v>
      </c>
      <c r="F57" s="290">
        <f>F15*F58</f>
        <v>1573.2460504575049</v>
      </c>
      <c r="G57" s="137">
        <f>G15*G58</f>
        <v>1651.9471689702607</v>
      </c>
      <c r="H57" s="137">
        <f>H15*H58</f>
        <v>1710.342048197025</v>
      </c>
      <c r="I57" s="137">
        <f>I15*I58</f>
        <v>1759.6830507326936</v>
      </c>
      <c r="J57" s="137">
        <f>J15*J58</f>
        <v>1785.9747651179034</v>
      </c>
      <c r="K57" s="94"/>
      <c r="L57" s="94"/>
    </row>
    <row r="58" spans="1:12" ht="14.25" customHeight="1">
      <c r="A58" s="92"/>
      <c r="B58" s="101" t="s">
        <v>17</v>
      </c>
      <c r="C58" s="121">
        <f>C57/C15</f>
        <v>0.36583685230465496</v>
      </c>
      <c r="D58" s="121">
        <f>D57/D15</f>
        <v>0.44047132190805593</v>
      </c>
      <c r="E58" s="303">
        <f>E57/E15</f>
        <v>0.37643287949208049</v>
      </c>
      <c r="F58" s="287">
        <f>CHOOSE($C$5,F59,F60,F61)</f>
        <v>0.34424701790159712</v>
      </c>
      <c r="G58" s="121">
        <f>CHOOSE($C$5,G59,G60,G61)</f>
        <v>0.30705040643391113</v>
      </c>
      <c r="H58" s="121">
        <f>CHOOSE($C$5,H59,H60,H61)</f>
        <v>0.27257676794252961</v>
      </c>
      <c r="I58" s="121">
        <f>CHOOSE($C$5,I59,I60,I61)</f>
        <v>0.23795806409267928</v>
      </c>
      <c r="J58" s="121">
        <f>CHOOSE($C$5,J59,J60,J61)</f>
        <v>0.20252841282304002</v>
      </c>
      <c r="K58" s="94"/>
      <c r="L58" s="94"/>
    </row>
    <row r="59" spans="1:12" ht="14.25" customHeight="1">
      <c r="A59" s="92"/>
      <c r="B59" s="142" t="s">
        <v>18</v>
      </c>
      <c r="C59" s="102"/>
      <c r="D59" s="102"/>
      <c r="E59" s="307"/>
      <c r="F59" s="127">
        <f>F60-0.8%</f>
        <v>0.33624701790159711</v>
      </c>
      <c r="G59" s="127">
        <f>G60-0.8%</f>
        <v>0.29905040643391112</v>
      </c>
      <c r="H59" s="127">
        <f>H60-0.8%</f>
        <v>0.2645767679425296</v>
      </c>
      <c r="I59" s="127">
        <f>I60-0.8%</f>
        <v>0.22995806409267927</v>
      </c>
      <c r="J59" s="127">
        <f>J60-0.8%</f>
        <v>0.19452841282304001</v>
      </c>
      <c r="K59" s="94"/>
      <c r="L59" s="94"/>
    </row>
    <row r="60" spans="1:12" ht="14.25" customHeight="1">
      <c r="A60" s="92"/>
      <c r="B60" s="143" t="s">
        <v>19</v>
      </c>
      <c r="C60" s="101"/>
      <c r="D60" s="101"/>
      <c r="E60" s="308"/>
      <c r="F60" s="281">
        <f>AVERAGE(C58:E58)-5%</f>
        <v>0.34424701790159712</v>
      </c>
      <c r="G60" s="133">
        <f>AVERAGE(F60,E58,D58)-8%</f>
        <v>0.30705040643391113</v>
      </c>
      <c r="H60" s="133">
        <f>AVERAGE(G60,F60,E58)-7%</f>
        <v>0.27257676794252961</v>
      </c>
      <c r="I60" s="133">
        <f>AVERAGE(F60:H60)-7%</f>
        <v>0.23795806409267928</v>
      </c>
      <c r="J60" s="133">
        <f>AVERAGE(G60:I60)-7%</f>
        <v>0.20252841282304002</v>
      </c>
      <c r="K60" s="94"/>
      <c r="L60" s="94"/>
    </row>
    <row r="61" spans="1:12" ht="14.25" customHeight="1">
      <c r="A61" s="92"/>
      <c r="B61" s="144" t="s">
        <v>20</v>
      </c>
      <c r="C61" s="130"/>
      <c r="D61" s="130"/>
      <c r="E61" s="315"/>
      <c r="F61" s="131">
        <f>F60+0.8%</f>
        <v>0.35224701790159713</v>
      </c>
      <c r="G61" s="131">
        <f>G60+0.8%</f>
        <v>0.31505040643391113</v>
      </c>
      <c r="H61" s="131">
        <f>H60+0.8%</f>
        <v>0.28057676794252961</v>
      </c>
      <c r="I61" s="131">
        <f>I60+0.8%</f>
        <v>0.24595806409267928</v>
      </c>
      <c r="J61" s="131">
        <f>J60+0.8%</f>
        <v>0.21052841282304002</v>
      </c>
      <c r="K61" s="94"/>
      <c r="L61" s="94"/>
    </row>
    <row r="62" spans="1:12" ht="14.25" customHeight="1">
      <c r="A62" s="92"/>
      <c r="B62" s="135"/>
      <c r="C62" s="145"/>
      <c r="D62" s="145"/>
      <c r="E62" s="316"/>
      <c r="F62" s="280"/>
      <c r="G62" s="117"/>
      <c r="H62" s="117"/>
      <c r="I62" s="146"/>
      <c r="J62" s="146"/>
      <c r="K62" s="94"/>
      <c r="L62" s="94"/>
    </row>
    <row r="63" spans="1:12" s="94" customFormat="1" ht="13">
      <c r="B63" s="147" t="s">
        <v>27</v>
      </c>
      <c r="C63" s="148"/>
      <c r="D63" s="148"/>
      <c r="E63" s="317"/>
      <c r="F63" s="292"/>
      <c r="G63" s="148"/>
      <c r="H63" s="148"/>
      <c r="I63" s="148"/>
      <c r="J63" s="148"/>
    </row>
    <row r="64" spans="1:12" s="94" customFormat="1" ht="13">
      <c r="B64" s="101"/>
      <c r="C64" s="101"/>
      <c r="D64" s="101"/>
      <c r="E64" s="304"/>
      <c r="F64" s="286"/>
      <c r="G64" s="101"/>
      <c r="H64" s="101"/>
      <c r="I64" s="92"/>
    </row>
    <row r="65" spans="1:12" s="94" customFormat="1" ht="14">
      <c r="B65" s="140" t="s">
        <v>25</v>
      </c>
      <c r="C65" s="149"/>
      <c r="D65" s="149"/>
      <c r="E65" s="318"/>
      <c r="F65" s="149"/>
      <c r="G65" s="149"/>
      <c r="H65" s="149"/>
      <c r="I65" s="149"/>
      <c r="J65" s="149"/>
    </row>
    <row r="66" spans="1:12" ht="14.25" customHeight="1">
      <c r="A66" s="92"/>
      <c r="B66" s="101" t="s">
        <v>28</v>
      </c>
      <c r="C66" s="123">
        <f>'Cash Flow Statement'!F39</f>
        <v>0</v>
      </c>
      <c r="D66" s="123">
        <f>'Cash Flow Statement'!G39</f>
        <v>49.43</v>
      </c>
      <c r="E66" s="306">
        <f>'Cash Flow Statement'!H39</f>
        <v>58.26</v>
      </c>
      <c r="F66" s="290">
        <f>F15*F67</f>
        <v>71.816957316348791</v>
      </c>
      <c r="G66" s="137">
        <f>G15*G67</f>
        <v>79.164770200552638</v>
      </c>
      <c r="H66" s="137">
        <f>H15*H67</f>
        <v>82.31603137863614</v>
      </c>
      <c r="I66" s="137">
        <f>I15*I67</f>
        <v>85.159222518908081</v>
      </c>
      <c r="J66" s="137">
        <f>J15*J67</f>
        <v>89.210012580462802</v>
      </c>
      <c r="K66" s="94"/>
      <c r="L66" s="94"/>
    </row>
    <row r="67" spans="1:12" ht="14.25" customHeight="1">
      <c r="A67" s="92"/>
      <c r="B67" s="101" t="s">
        <v>17</v>
      </c>
      <c r="C67" s="118">
        <f>C66/C15</f>
        <v>0</v>
      </c>
      <c r="D67" s="118">
        <f>D66/D15</f>
        <v>1.6501942141379882E-2</v>
      </c>
      <c r="E67" s="301">
        <f>E66/E15</f>
        <v>1.4927055736898474E-2</v>
      </c>
      <c r="F67" s="291">
        <f>CHOOSE($C$5,F68,F69,F70)</f>
        <v>1.5714498939139177E-2</v>
      </c>
      <c r="G67" s="118">
        <f>CHOOSE($C$5,G68,G69,G70)</f>
        <v>1.4714498939139176E-2</v>
      </c>
      <c r="H67" s="118">
        <f>CHOOSE($C$5,H68,H69,H70)</f>
        <v>1.3118684538392275E-2</v>
      </c>
      <c r="I67" s="118">
        <f>CHOOSE($C$5,I68,I69,I70)</f>
        <v>1.1515894138890207E-2</v>
      </c>
      <c r="J67" s="118">
        <f>CHOOSE($C$5,J68,J69,J70)</f>
        <v>1.0116359205473886E-2</v>
      </c>
      <c r="K67" s="94"/>
      <c r="L67" s="94"/>
    </row>
    <row r="68" spans="1:12" ht="14.25" customHeight="1">
      <c r="A68" s="92"/>
      <c r="B68" s="142" t="s">
        <v>18</v>
      </c>
      <c r="C68" s="102"/>
      <c r="D68" s="102"/>
      <c r="E68" s="307"/>
      <c r="F68" s="127">
        <f>F69-0.2%</f>
        <v>1.3714498939139176E-2</v>
      </c>
      <c r="G68" s="127">
        <f>G69-0.2%</f>
        <v>1.2714498939139176E-2</v>
      </c>
      <c r="H68" s="127">
        <f>H69-0.2%</f>
        <v>1.1118684538392275E-2</v>
      </c>
      <c r="I68" s="127">
        <f>I69-0.2%</f>
        <v>9.5158941388902071E-3</v>
      </c>
      <c r="J68" s="127">
        <f>J69-0.2%</f>
        <v>8.1163592054738862E-3</v>
      </c>
      <c r="K68" s="94"/>
      <c r="L68" s="94"/>
    </row>
    <row r="69" spans="1:12" ht="14.25" customHeight="1">
      <c r="A69" s="92"/>
      <c r="B69" s="143" t="s">
        <v>19</v>
      </c>
      <c r="C69" s="101"/>
      <c r="D69" s="101"/>
      <c r="E69" s="308"/>
      <c r="F69" s="281">
        <f>AVERAGE(D67:E67)</f>
        <v>1.5714498939139177E-2</v>
      </c>
      <c r="G69" s="133">
        <f>AVERAGE(F69,E67,D67)-0.1%</f>
        <v>1.4714498939139176E-2</v>
      </c>
      <c r="H69" s="133">
        <f>AVERAGE(G69,F69,E67)-0.2%</f>
        <v>1.3118684538392275E-2</v>
      </c>
      <c r="I69" s="133">
        <f>AVERAGE(F69:H69)-0.3%</f>
        <v>1.1515894138890207E-2</v>
      </c>
      <c r="J69" s="133">
        <f>AVERAGE(G69:I69)-0.3%</f>
        <v>1.0116359205473886E-2</v>
      </c>
      <c r="K69" s="94"/>
      <c r="L69" s="94"/>
    </row>
    <row r="70" spans="1:12" ht="14.25" customHeight="1">
      <c r="A70" s="92"/>
      <c r="B70" s="144" t="s">
        <v>20</v>
      </c>
      <c r="C70" s="130"/>
      <c r="D70" s="130"/>
      <c r="E70" s="309"/>
      <c r="F70" s="131">
        <f>F69+0.2%</f>
        <v>1.7714498939139178E-2</v>
      </c>
      <c r="G70" s="131">
        <f>G69+0.2%</f>
        <v>1.6714498939139177E-2</v>
      </c>
      <c r="H70" s="131">
        <f>H69+0.2%</f>
        <v>1.5118684538392275E-2</v>
      </c>
      <c r="I70" s="131">
        <f>I69+0.2%</f>
        <v>1.3515894138890207E-2</v>
      </c>
      <c r="J70" s="131">
        <f>J69+0.2%</f>
        <v>1.2116359205473886E-2</v>
      </c>
      <c r="K70" s="94"/>
      <c r="L70" s="94"/>
    </row>
    <row r="71" spans="1:12" ht="13.5" customHeight="1">
      <c r="A71" s="94"/>
      <c r="B71" s="94"/>
      <c r="C71" s="94"/>
      <c r="D71" s="94"/>
      <c r="E71" s="314"/>
      <c r="F71" s="282"/>
      <c r="G71" s="94"/>
      <c r="H71" s="94"/>
      <c r="I71" s="94"/>
      <c r="J71" s="94"/>
      <c r="K71" s="94"/>
      <c r="L71" s="94"/>
    </row>
    <row r="72" spans="1:12" s="94" customFormat="1" ht="14.5" customHeight="1">
      <c r="A72" s="92"/>
      <c r="B72" s="150" t="s">
        <v>29</v>
      </c>
      <c r="C72" s="151"/>
      <c r="D72" s="151"/>
      <c r="E72" s="319"/>
      <c r="F72" s="293"/>
      <c r="G72" s="151"/>
      <c r="H72" s="151"/>
      <c r="I72" s="151"/>
      <c r="J72" s="151"/>
    </row>
    <row r="73" spans="1:12" s="94" customFormat="1" ht="13">
      <c r="B73" s="152" t="s">
        <v>30</v>
      </c>
      <c r="C73" s="94">
        <f>'Income Statement + Forecast'!D54</f>
        <v>130.04300000000001</v>
      </c>
      <c r="D73" s="94">
        <f>'Income Statement + Forecast'!E54</f>
        <v>175.33099999999999</v>
      </c>
      <c r="E73" s="314">
        <f>'Income Statement + Forecast'!F54</f>
        <v>182.3355</v>
      </c>
      <c r="F73" s="294">
        <f>F79*F74</f>
        <v>216.1389314356004</v>
      </c>
      <c r="G73" s="153">
        <f t="shared" ref="G73:J73" si="25">G79*G74</f>
        <v>159.72793648784736</v>
      </c>
      <c r="H73" s="153">
        <f t="shared" si="25"/>
        <v>129.0445383816583</v>
      </c>
      <c r="I73" s="153">
        <f t="shared" si="25"/>
        <v>112.34798947230421</v>
      </c>
      <c r="J73" s="153">
        <f t="shared" si="25"/>
        <v>102.92407792437561</v>
      </c>
    </row>
    <row r="74" spans="1:12" ht="14.25" customHeight="1">
      <c r="A74" s="92"/>
      <c r="B74" s="101" t="s">
        <v>31</v>
      </c>
      <c r="C74" s="121">
        <f>C73/C79</f>
        <v>0.41201089883724618</v>
      </c>
      <c r="D74" s="121">
        <f t="shared" ref="D74:E74" si="26">D73/D79</f>
        <v>0.39558458553314374</v>
      </c>
      <c r="E74" s="303">
        <f t="shared" si="26"/>
        <v>0.38723108288912012</v>
      </c>
      <c r="F74" s="287">
        <f>CHOOSE($C$5,F75,F76,F77)</f>
        <v>0.39827552241983666</v>
      </c>
      <c r="G74" s="121">
        <f>CHOOSE($C$5,G75,G76,G77)</f>
        <v>0.3936970636140335</v>
      </c>
      <c r="H74" s="121">
        <f>CHOOSE($C$5,H75,H76,H77)</f>
        <v>0.39306788964099676</v>
      </c>
      <c r="I74" s="121">
        <f>CHOOSE($C$5,I75,I76,I77)</f>
        <v>0.39501349189162233</v>
      </c>
      <c r="J74" s="121">
        <f>CHOOSE($C$5,J75,J76,J77)</f>
        <v>0.39392614838221757</v>
      </c>
      <c r="K74" s="94"/>
      <c r="L74" s="94"/>
    </row>
    <row r="75" spans="1:12" ht="14.25" customHeight="1">
      <c r="A75" s="92"/>
      <c r="B75" s="142" t="s">
        <v>18</v>
      </c>
      <c r="C75" s="102"/>
      <c r="D75" s="102"/>
      <c r="E75" s="307"/>
      <c r="F75" s="127">
        <f t="shared" ref="F75:J75" si="27">F76</f>
        <v>0.39827552241983666</v>
      </c>
      <c r="G75" s="127">
        <f>G76</f>
        <v>0.3936970636140335</v>
      </c>
      <c r="H75" s="127">
        <f t="shared" si="27"/>
        <v>0.39306788964099676</v>
      </c>
      <c r="I75" s="127">
        <f t="shared" si="27"/>
        <v>0.39501349189162233</v>
      </c>
      <c r="J75" s="127">
        <f t="shared" si="27"/>
        <v>0.39392614838221757</v>
      </c>
      <c r="K75" s="94"/>
      <c r="L75" s="94"/>
    </row>
    <row r="76" spans="1:12" ht="14.25" customHeight="1">
      <c r="A76" s="92"/>
      <c r="B76" s="143" t="s">
        <v>19</v>
      </c>
      <c r="C76" s="101"/>
      <c r="D76" s="101"/>
      <c r="E76" s="308"/>
      <c r="F76" s="281">
        <f>AVERAGE(C74:E74)</f>
        <v>0.39827552241983666</v>
      </c>
      <c r="G76" s="133">
        <f>AVERAGE(F76,E74,D74)</f>
        <v>0.3936970636140335</v>
      </c>
      <c r="H76" s="133">
        <f>AVERAGE(G76,F76,E74)</f>
        <v>0.39306788964099676</v>
      </c>
      <c r="I76" s="133">
        <f t="shared" ref="I76" si="28">AVERAGE(F76:H76)</f>
        <v>0.39501349189162233</v>
      </c>
      <c r="J76" s="133">
        <f t="shared" ref="J76" si="29">AVERAGE(G76:I76)</f>
        <v>0.39392614838221757</v>
      </c>
      <c r="K76" s="94"/>
      <c r="L76" s="94"/>
    </row>
    <row r="77" spans="1:12" ht="14.25" customHeight="1">
      <c r="A77" s="92"/>
      <c r="B77" s="144" t="s">
        <v>20</v>
      </c>
      <c r="C77" s="130"/>
      <c r="D77" s="130"/>
      <c r="E77" s="309"/>
      <c r="F77" s="131">
        <f>F76</f>
        <v>0.39827552241983666</v>
      </c>
      <c r="G77" s="131">
        <f t="shared" ref="G77:J77" si="30">G76</f>
        <v>0.3936970636140335</v>
      </c>
      <c r="H77" s="131">
        <f t="shared" si="30"/>
        <v>0.39306788964099676</v>
      </c>
      <c r="I77" s="131">
        <f t="shared" si="30"/>
        <v>0.39501349189162233</v>
      </c>
      <c r="J77" s="131">
        <f t="shared" si="30"/>
        <v>0.39392614838221757</v>
      </c>
      <c r="K77" s="94"/>
      <c r="L77" s="94"/>
    </row>
    <row r="78" spans="1:12" ht="13.5" customHeight="1">
      <c r="A78" s="94"/>
      <c r="B78" s="94"/>
      <c r="C78" s="94"/>
      <c r="D78" s="94"/>
      <c r="E78" s="314"/>
      <c r="F78" s="282"/>
      <c r="G78" s="94"/>
      <c r="H78" s="94"/>
      <c r="I78" s="94"/>
      <c r="J78" s="94"/>
      <c r="K78" s="94"/>
      <c r="L78" s="94"/>
    </row>
    <row r="79" spans="1:12" ht="13.5" customHeight="1">
      <c r="A79" s="94"/>
      <c r="B79" s="94" t="s">
        <v>32</v>
      </c>
      <c r="C79" s="94">
        <f>'Balance Sheet'!I37</f>
        <v>315.63</v>
      </c>
      <c r="D79" s="94">
        <f>'Balance Sheet'!J37</f>
        <v>443.22</v>
      </c>
      <c r="E79" s="314">
        <f>'Balance Sheet'!K37</f>
        <v>470.87</v>
      </c>
      <c r="F79" s="294">
        <f>E79+F66</f>
        <v>542.68695731634875</v>
      </c>
      <c r="G79" s="153">
        <f>F81+G66</f>
        <v>405.71279608130101</v>
      </c>
      <c r="H79" s="153">
        <f t="shared" ref="H79:J79" si="31">G81+H66</f>
        <v>328.3008909720898</v>
      </c>
      <c r="I79" s="153">
        <f t="shared" si="31"/>
        <v>284.41557510933956</v>
      </c>
      <c r="J79" s="153">
        <f t="shared" si="31"/>
        <v>261.27759821749817</v>
      </c>
      <c r="K79" s="94"/>
      <c r="L79" s="94"/>
    </row>
    <row r="80" spans="1:12" ht="13.5" customHeight="1">
      <c r="A80" s="94"/>
      <c r="B80" s="94" t="s">
        <v>33</v>
      </c>
      <c r="C80" s="94">
        <f>'Balance Sheet'!I37</f>
        <v>315.63</v>
      </c>
      <c r="D80" s="94"/>
      <c r="E80" s="314"/>
      <c r="F80" s="294">
        <f>F73</f>
        <v>216.1389314356004</v>
      </c>
      <c r="G80" s="153">
        <f t="shared" ref="G80:J80" si="32">G73</f>
        <v>159.72793648784736</v>
      </c>
      <c r="H80" s="153">
        <f t="shared" si="32"/>
        <v>129.0445383816583</v>
      </c>
      <c r="I80" s="153">
        <f t="shared" si="32"/>
        <v>112.34798947230421</v>
      </c>
      <c r="J80" s="153">
        <f t="shared" si="32"/>
        <v>102.92407792437561</v>
      </c>
      <c r="K80" s="94"/>
      <c r="L80" s="94"/>
    </row>
    <row r="81" spans="1:12" ht="13.5" customHeight="1">
      <c r="A81" s="94"/>
      <c r="B81" s="94" t="s">
        <v>34</v>
      </c>
      <c r="C81" s="94"/>
      <c r="D81" s="94"/>
      <c r="E81" s="314"/>
      <c r="F81" s="294">
        <f>F79-F80</f>
        <v>326.54802588074836</v>
      </c>
      <c r="G81" s="153">
        <f t="shared" ref="G81:J81" si="33">G79-G80</f>
        <v>245.98485959345365</v>
      </c>
      <c r="H81" s="153">
        <f t="shared" si="33"/>
        <v>199.2563525904315</v>
      </c>
      <c r="I81" s="153">
        <f t="shared" si="33"/>
        <v>172.06758563703534</v>
      </c>
      <c r="J81" s="153">
        <f t="shared" si="33"/>
        <v>158.35352029312256</v>
      </c>
      <c r="K81" s="94"/>
      <c r="L81" s="94"/>
    </row>
    <row r="82" spans="1:12" ht="13.5" customHeight="1">
      <c r="A82" s="94"/>
      <c r="B82" s="94"/>
      <c r="C82" s="94"/>
      <c r="D82" s="94"/>
      <c r="E82" s="282"/>
      <c r="F82" s="282"/>
      <c r="H82" s="94"/>
      <c r="I82" s="94"/>
      <c r="J82" s="94"/>
      <c r="K82" s="94"/>
      <c r="L82" s="94"/>
    </row>
    <row r="83" spans="1:12" ht="13.5" customHeight="1">
      <c r="A83" s="94"/>
      <c r="B83" s="94"/>
      <c r="C83" s="94"/>
      <c r="D83" s="94"/>
      <c r="E83" s="282"/>
      <c r="F83" s="282"/>
      <c r="G83" s="94"/>
      <c r="H83" s="94"/>
      <c r="I83" s="94"/>
      <c r="J83" s="94"/>
      <c r="K83" s="94"/>
      <c r="L83" s="94"/>
    </row>
    <row r="84" spans="1:12" ht="13.5" customHeight="1">
      <c r="A84" s="94"/>
      <c r="B84" s="94"/>
      <c r="C84" s="94"/>
      <c r="D84" s="94"/>
      <c r="E84" s="282"/>
      <c r="F84" s="282"/>
      <c r="G84" s="94"/>
      <c r="H84" s="94"/>
      <c r="I84" s="94"/>
      <c r="J84" s="94"/>
      <c r="K84" s="94"/>
      <c r="L84" s="94"/>
    </row>
    <row r="85" spans="1:12" ht="13.5" customHeight="1">
      <c r="A85" s="94"/>
      <c r="B85" s="94"/>
      <c r="C85" s="94"/>
      <c r="D85" s="94"/>
      <c r="E85" s="282"/>
      <c r="F85" s="282"/>
      <c r="G85" s="94"/>
      <c r="H85" s="94"/>
      <c r="I85" s="94"/>
      <c r="J85" s="94"/>
      <c r="K85" s="94"/>
      <c r="L85" s="94"/>
    </row>
    <row r="86" spans="1:12" ht="13.5" customHeight="1">
      <c r="A86" s="94"/>
      <c r="B86" s="94"/>
      <c r="C86" s="94"/>
      <c r="D86" s="94"/>
      <c r="E86" s="282"/>
      <c r="F86" s="282"/>
      <c r="G86" s="94"/>
      <c r="H86" s="94"/>
      <c r="I86" s="94"/>
      <c r="J86" s="94"/>
      <c r="K86" s="94"/>
      <c r="L86" s="94"/>
    </row>
    <row r="87" spans="1:12" ht="13.5" customHeight="1">
      <c r="A87" s="94"/>
      <c r="B87" s="94"/>
      <c r="C87" s="94"/>
      <c r="D87" s="94"/>
      <c r="E87" s="282"/>
      <c r="F87" s="282"/>
      <c r="G87" s="94"/>
      <c r="H87" s="94"/>
      <c r="I87" s="94"/>
      <c r="J87" s="94"/>
      <c r="K87" s="94"/>
      <c r="L87" s="94"/>
    </row>
    <row r="88" spans="1:12" ht="13.5" customHeight="1">
      <c r="A88" s="94"/>
      <c r="B88" s="94"/>
      <c r="C88" s="94"/>
      <c r="D88" s="94"/>
      <c r="E88" s="282"/>
      <c r="F88" s="282"/>
      <c r="G88" s="94"/>
      <c r="H88" s="94"/>
      <c r="I88" s="94"/>
      <c r="J88" s="94"/>
      <c r="K88" s="94"/>
      <c r="L88" s="94"/>
    </row>
    <row r="89" spans="1:12" ht="13.5" customHeight="1">
      <c r="A89" s="94"/>
      <c r="B89" s="94"/>
      <c r="C89" s="94"/>
      <c r="D89" s="94"/>
      <c r="E89" s="282"/>
      <c r="F89" s="282"/>
      <c r="G89" s="94"/>
      <c r="H89" s="94"/>
      <c r="I89" s="94"/>
      <c r="J89" s="94"/>
      <c r="K89" s="94"/>
      <c r="L89" s="94"/>
    </row>
    <row r="90" spans="1:12" ht="13.5" customHeight="1">
      <c r="A90" s="94"/>
      <c r="B90" s="94"/>
      <c r="C90" s="94"/>
      <c r="D90" s="94"/>
      <c r="E90" s="282"/>
      <c r="F90" s="282"/>
      <c r="G90" s="94"/>
      <c r="H90" s="94"/>
      <c r="I90" s="94"/>
      <c r="J90" s="94"/>
      <c r="K90" s="94"/>
      <c r="L90" s="94"/>
    </row>
    <row r="91" spans="1:12" ht="13.5" customHeight="1">
      <c r="A91" s="94"/>
      <c r="B91" s="94"/>
      <c r="C91" s="94"/>
      <c r="D91" s="94"/>
      <c r="E91" s="282"/>
      <c r="F91" s="282"/>
      <c r="G91" s="94"/>
      <c r="H91" s="94"/>
      <c r="I91" s="94"/>
      <c r="J91" s="94"/>
      <c r="K91" s="94"/>
      <c r="L91" s="94"/>
    </row>
    <row r="92" spans="1:12" ht="13.5" customHeight="1">
      <c r="A92" s="94"/>
      <c r="B92" s="94"/>
      <c r="C92" s="94"/>
      <c r="D92" s="94"/>
      <c r="E92" s="282"/>
      <c r="F92" s="282"/>
      <c r="G92" s="94"/>
      <c r="H92" s="94"/>
      <c r="I92" s="94"/>
      <c r="J92" s="94"/>
      <c r="K92" s="94"/>
      <c r="L92" s="94"/>
    </row>
    <row r="93" spans="1:12" ht="13.5" customHeight="1">
      <c r="A93" s="94"/>
      <c r="B93" s="94"/>
      <c r="C93" s="94"/>
      <c r="D93" s="94"/>
      <c r="E93" s="282"/>
      <c r="F93" s="282"/>
      <c r="G93" s="94"/>
      <c r="H93" s="94"/>
      <c r="I93" s="94"/>
      <c r="J93" s="94"/>
      <c r="K93" s="94"/>
      <c r="L93" s="94"/>
    </row>
    <row r="94" spans="1:12" ht="13.5" customHeight="1">
      <c r="A94" s="94"/>
      <c r="B94" s="94"/>
      <c r="C94" s="94"/>
      <c r="D94" s="94"/>
      <c r="E94" s="282"/>
      <c r="F94" s="282"/>
      <c r="G94" s="94"/>
      <c r="H94" s="94"/>
      <c r="I94" s="94"/>
      <c r="J94" s="94"/>
      <c r="K94" s="94"/>
      <c r="L94" s="94"/>
    </row>
    <row r="95" spans="1:12" ht="13.5" customHeight="1">
      <c r="A95" s="94"/>
      <c r="B95" s="94"/>
      <c r="C95" s="94"/>
      <c r="D95" s="94"/>
      <c r="E95" s="282"/>
      <c r="F95" s="282"/>
      <c r="G95" s="94"/>
      <c r="H95" s="94"/>
      <c r="I95" s="94"/>
      <c r="J95" s="94"/>
      <c r="K95" s="94"/>
      <c r="L95" s="94"/>
    </row>
    <row r="96" spans="1:12" ht="13.5" customHeight="1">
      <c r="A96" s="94"/>
      <c r="B96" s="94"/>
      <c r="C96" s="94"/>
      <c r="D96" s="94"/>
      <c r="E96" s="282"/>
      <c r="F96" s="282"/>
      <c r="G96" s="94"/>
      <c r="H96" s="94"/>
      <c r="I96" s="94"/>
      <c r="J96" s="94"/>
      <c r="K96" s="94"/>
      <c r="L96" s="94"/>
    </row>
    <row r="97" spans="1:12" ht="13.5" customHeight="1">
      <c r="A97" s="94"/>
      <c r="B97" s="94"/>
      <c r="C97" s="94"/>
      <c r="D97" s="94"/>
      <c r="E97" s="282"/>
      <c r="F97" s="282"/>
      <c r="G97" s="94"/>
      <c r="H97" s="94"/>
      <c r="I97" s="94"/>
      <c r="J97" s="94"/>
      <c r="K97" s="94"/>
      <c r="L97" s="94"/>
    </row>
    <row r="98" spans="1:12" ht="13.5" customHeight="1">
      <c r="A98" s="94"/>
      <c r="B98" s="94"/>
      <c r="C98" s="94"/>
      <c r="D98" s="94"/>
      <c r="E98" s="282"/>
      <c r="F98" s="282"/>
      <c r="G98" s="94"/>
      <c r="H98" s="94"/>
      <c r="I98" s="94"/>
      <c r="J98" s="94"/>
      <c r="K98" s="94"/>
      <c r="L98" s="94"/>
    </row>
    <row r="99" spans="1:12" ht="13.5" customHeight="1">
      <c r="A99" s="94"/>
      <c r="B99" s="94"/>
      <c r="C99" s="94"/>
      <c r="D99" s="94"/>
      <c r="E99" s="282"/>
      <c r="F99" s="282"/>
      <c r="G99" s="94"/>
      <c r="H99" s="94"/>
      <c r="I99" s="94"/>
      <c r="J99" s="94"/>
      <c r="K99" s="94"/>
      <c r="L99" s="94"/>
    </row>
    <row r="100" spans="1:12" ht="13.5" customHeight="1">
      <c r="A100" s="94"/>
      <c r="B100" s="94"/>
      <c r="C100" s="94"/>
      <c r="D100" s="94"/>
      <c r="E100" s="282"/>
      <c r="F100" s="282"/>
      <c r="G100" s="94"/>
      <c r="H100" s="94"/>
      <c r="I100" s="94"/>
      <c r="J100" s="94"/>
      <c r="K100" s="94"/>
      <c r="L100" s="94"/>
    </row>
    <row r="101" spans="1:12" ht="13.5" customHeight="1">
      <c r="A101" s="94"/>
      <c r="B101" s="94"/>
      <c r="C101" s="94"/>
      <c r="D101" s="94"/>
      <c r="E101" s="282"/>
      <c r="F101" s="282"/>
      <c r="G101" s="94"/>
      <c r="H101" s="94"/>
      <c r="I101" s="94"/>
      <c r="J101" s="94"/>
      <c r="K101" s="94"/>
      <c r="L101" s="94"/>
    </row>
    <row r="102" spans="1:12" ht="13.5" customHeight="1">
      <c r="A102" s="94"/>
      <c r="B102" s="94"/>
      <c r="C102" s="94"/>
      <c r="D102" s="94"/>
      <c r="E102" s="282"/>
      <c r="F102" s="282"/>
      <c r="G102" s="94"/>
      <c r="H102" s="94"/>
      <c r="I102" s="94"/>
      <c r="J102" s="94"/>
      <c r="K102" s="94"/>
      <c r="L102" s="94"/>
    </row>
    <row r="103" spans="1:12" ht="13.5" customHeight="1">
      <c r="A103" s="94"/>
      <c r="B103" s="94"/>
      <c r="C103" s="94"/>
      <c r="D103" s="94"/>
      <c r="E103" s="282"/>
      <c r="F103" s="282"/>
      <c r="G103" s="94"/>
      <c r="H103" s="94"/>
      <c r="I103" s="94"/>
      <c r="J103" s="94"/>
      <c r="K103" s="94"/>
      <c r="L103" s="94"/>
    </row>
    <row r="104" spans="1:12" ht="13.5" customHeight="1">
      <c r="A104" s="94"/>
      <c r="B104" s="94"/>
      <c r="C104" s="94"/>
      <c r="D104" s="94"/>
      <c r="E104" s="282"/>
      <c r="F104" s="282"/>
      <c r="G104" s="94"/>
      <c r="H104" s="94"/>
      <c r="I104" s="94"/>
      <c r="J104" s="94"/>
      <c r="K104" s="94"/>
      <c r="L104" s="94"/>
    </row>
    <row r="105" spans="1:12" ht="13.5" customHeight="1">
      <c r="A105" s="94"/>
      <c r="B105" s="94"/>
      <c r="C105" s="94"/>
      <c r="D105" s="94"/>
      <c r="E105" s="282"/>
      <c r="F105" s="282"/>
      <c r="G105" s="94"/>
      <c r="H105" s="94"/>
      <c r="I105" s="94"/>
      <c r="J105" s="94"/>
      <c r="K105" s="94"/>
      <c r="L105" s="94"/>
    </row>
    <row r="106" spans="1:12" ht="13.5" customHeight="1">
      <c r="A106" s="94"/>
      <c r="B106" s="94"/>
      <c r="C106" s="94"/>
      <c r="D106" s="94"/>
      <c r="E106" s="282"/>
      <c r="F106" s="282"/>
      <c r="G106" s="94"/>
      <c r="H106" s="94"/>
      <c r="I106" s="94"/>
      <c r="J106" s="94"/>
      <c r="K106" s="94"/>
      <c r="L106" s="94"/>
    </row>
    <row r="107" spans="1:12" ht="13.5" customHeight="1">
      <c r="A107" s="94"/>
      <c r="B107" s="94"/>
      <c r="C107" s="94"/>
      <c r="D107" s="94"/>
      <c r="E107" s="282"/>
      <c r="F107" s="282"/>
      <c r="G107" s="94"/>
      <c r="H107" s="94"/>
      <c r="I107" s="94"/>
      <c r="J107" s="94"/>
      <c r="K107" s="94"/>
      <c r="L107" s="94"/>
    </row>
    <row r="108" spans="1:12" ht="13.5" customHeight="1">
      <c r="A108" s="94"/>
      <c r="B108" s="94"/>
      <c r="C108" s="94"/>
      <c r="D108" s="94"/>
      <c r="E108" s="282"/>
      <c r="F108" s="282"/>
      <c r="G108" s="94"/>
      <c r="H108" s="94"/>
      <c r="I108" s="94"/>
      <c r="J108" s="94"/>
      <c r="K108" s="94"/>
      <c r="L108" s="94"/>
    </row>
    <row r="109" spans="1:12" ht="13.5" customHeight="1">
      <c r="A109" s="94"/>
      <c r="B109" s="94"/>
      <c r="C109" s="94"/>
      <c r="D109" s="94"/>
      <c r="E109" s="282"/>
      <c r="F109" s="282"/>
      <c r="G109" s="94"/>
      <c r="H109" s="94"/>
      <c r="I109" s="94"/>
      <c r="J109" s="94"/>
      <c r="K109" s="94"/>
      <c r="L109" s="94"/>
    </row>
    <row r="110" spans="1:12" ht="13.5" customHeight="1">
      <c r="A110" s="94"/>
      <c r="B110" s="94"/>
      <c r="C110" s="94"/>
      <c r="D110" s="94"/>
      <c r="E110" s="282"/>
      <c r="F110" s="282"/>
      <c r="G110" s="94"/>
      <c r="H110" s="94"/>
      <c r="I110" s="94"/>
      <c r="J110" s="94"/>
      <c r="K110" s="94"/>
      <c r="L110" s="94"/>
    </row>
    <row r="111" spans="1:12" ht="13.5" customHeight="1">
      <c r="A111" s="94"/>
      <c r="B111" s="94"/>
      <c r="C111" s="94"/>
      <c r="D111" s="94"/>
      <c r="E111" s="282"/>
      <c r="F111" s="282"/>
      <c r="G111" s="94"/>
      <c r="H111" s="94"/>
      <c r="I111" s="94"/>
      <c r="J111" s="94"/>
      <c r="K111" s="94"/>
      <c r="L111" s="94"/>
    </row>
    <row r="112" spans="1:12" ht="13.5" customHeight="1">
      <c r="A112" s="94"/>
      <c r="B112" s="94"/>
      <c r="C112" s="94"/>
      <c r="D112" s="94"/>
      <c r="E112" s="282"/>
      <c r="F112" s="282"/>
      <c r="G112" s="94"/>
      <c r="H112" s="94"/>
      <c r="I112" s="94"/>
      <c r="J112" s="94"/>
      <c r="K112" s="94"/>
      <c r="L112" s="94"/>
    </row>
    <row r="113" spans="1:12" ht="13.5" customHeight="1">
      <c r="A113" s="94"/>
      <c r="B113" s="94"/>
      <c r="C113" s="94"/>
      <c r="D113" s="94"/>
      <c r="E113" s="282"/>
      <c r="F113" s="282"/>
      <c r="G113" s="94"/>
      <c r="H113" s="94"/>
      <c r="I113" s="94"/>
      <c r="J113" s="94"/>
      <c r="K113" s="94"/>
      <c r="L113" s="94"/>
    </row>
    <row r="114" spans="1:12" ht="13.5" customHeight="1">
      <c r="A114" s="94"/>
      <c r="B114" s="94"/>
      <c r="C114" s="94"/>
      <c r="D114" s="94"/>
      <c r="E114" s="282"/>
      <c r="F114" s="282"/>
      <c r="G114" s="94"/>
      <c r="H114" s="94"/>
      <c r="I114" s="94"/>
      <c r="J114" s="94"/>
      <c r="K114" s="94"/>
      <c r="L114" s="94"/>
    </row>
    <row r="115" spans="1:12" ht="13.5" customHeight="1">
      <c r="A115" s="94"/>
      <c r="B115" s="94"/>
      <c r="C115" s="94"/>
      <c r="D115" s="94"/>
      <c r="E115" s="282"/>
      <c r="F115" s="282"/>
      <c r="G115" s="94"/>
      <c r="H115" s="94"/>
      <c r="I115" s="94"/>
      <c r="J115" s="94"/>
      <c r="K115" s="94"/>
      <c r="L115" s="94"/>
    </row>
    <row r="116" spans="1:12" ht="13.5" customHeight="1">
      <c r="A116" s="94"/>
      <c r="B116" s="94"/>
      <c r="C116" s="94"/>
      <c r="D116" s="94"/>
      <c r="E116" s="282"/>
      <c r="F116" s="282"/>
      <c r="G116" s="94"/>
      <c r="H116" s="94"/>
      <c r="I116" s="94"/>
      <c r="J116" s="94"/>
      <c r="K116" s="94"/>
      <c r="L116" s="94"/>
    </row>
    <row r="117" spans="1:12" ht="13.5" customHeight="1">
      <c r="A117" s="94"/>
      <c r="B117" s="94"/>
      <c r="C117" s="94"/>
      <c r="D117" s="94"/>
      <c r="E117" s="282"/>
      <c r="F117" s="282"/>
      <c r="G117" s="94"/>
      <c r="H117" s="94"/>
      <c r="I117" s="94"/>
      <c r="J117" s="94"/>
      <c r="K117" s="94"/>
      <c r="L117" s="94"/>
    </row>
    <row r="118" spans="1:12" ht="13.5" customHeight="1">
      <c r="A118" s="94"/>
      <c r="B118" s="94"/>
      <c r="C118" s="94"/>
      <c r="D118" s="94"/>
      <c r="E118" s="282"/>
      <c r="F118" s="282"/>
      <c r="G118" s="94"/>
      <c r="H118" s="94"/>
      <c r="I118" s="94"/>
      <c r="J118" s="94"/>
      <c r="K118" s="94"/>
      <c r="L118" s="94"/>
    </row>
    <row r="119" spans="1:12" ht="13.5" customHeight="1">
      <c r="A119" s="94"/>
      <c r="B119" s="94"/>
      <c r="C119" s="94"/>
      <c r="D119" s="94"/>
      <c r="E119" s="282"/>
      <c r="F119" s="282"/>
      <c r="G119" s="94"/>
      <c r="H119" s="94"/>
      <c r="I119" s="94"/>
      <c r="J119" s="94"/>
      <c r="K119" s="94"/>
      <c r="L119" s="94"/>
    </row>
    <row r="120" spans="1:12" ht="13.5" customHeight="1">
      <c r="A120" s="94"/>
      <c r="B120" s="94"/>
      <c r="C120" s="94"/>
      <c r="D120" s="94"/>
      <c r="E120" s="282"/>
      <c r="F120" s="282"/>
      <c r="G120" s="94"/>
      <c r="H120" s="94"/>
      <c r="I120" s="94"/>
      <c r="J120" s="94"/>
      <c r="K120" s="94"/>
      <c r="L120" s="94"/>
    </row>
    <row r="121" spans="1:12" ht="13.5" customHeight="1">
      <c r="A121" s="94"/>
      <c r="B121" s="94"/>
      <c r="C121" s="94"/>
      <c r="D121" s="94"/>
      <c r="E121" s="282"/>
      <c r="F121" s="282"/>
      <c r="G121" s="94"/>
      <c r="H121" s="94"/>
      <c r="I121" s="94"/>
      <c r="J121" s="94"/>
      <c r="K121" s="94"/>
      <c r="L121" s="94"/>
    </row>
    <row r="122" spans="1:12" ht="13.5" customHeight="1">
      <c r="A122" s="94"/>
      <c r="B122" s="94"/>
      <c r="C122" s="94"/>
      <c r="D122" s="94"/>
      <c r="E122" s="282"/>
      <c r="F122" s="282"/>
      <c r="G122" s="94"/>
      <c r="H122" s="94"/>
      <c r="I122" s="94"/>
      <c r="J122" s="94"/>
      <c r="K122" s="94"/>
      <c r="L122" s="94"/>
    </row>
    <row r="123" spans="1:12" ht="13.5" customHeight="1">
      <c r="A123" s="94"/>
      <c r="B123" s="94"/>
      <c r="C123" s="94"/>
      <c r="D123" s="94"/>
      <c r="E123" s="282"/>
      <c r="F123" s="282"/>
      <c r="G123" s="94"/>
      <c r="H123" s="94"/>
      <c r="I123" s="94"/>
      <c r="J123" s="94"/>
      <c r="K123" s="94"/>
      <c r="L123" s="94"/>
    </row>
    <row r="124" spans="1:12" ht="13.5" customHeight="1">
      <c r="A124" s="94"/>
      <c r="B124" s="94"/>
      <c r="C124" s="94"/>
      <c r="D124" s="94"/>
      <c r="E124" s="282"/>
      <c r="F124" s="282"/>
      <c r="G124" s="94"/>
      <c r="H124" s="94"/>
      <c r="I124" s="94"/>
      <c r="J124" s="94"/>
      <c r="K124" s="94"/>
      <c r="L124" s="94"/>
    </row>
    <row r="125" spans="1:12" ht="13.5" customHeight="1">
      <c r="A125" s="94"/>
      <c r="B125" s="94"/>
      <c r="C125" s="94"/>
      <c r="D125" s="94"/>
      <c r="E125" s="282"/>
      <c r="F125" s="282"/>
      <c r="G125" s="94"/>
      <c r="H125" s="94"/>
      <c r="I125" s="94"/>
      <c r="J125" s="94"/>
      <c r="K125" s="94"/>
      <c r="L125" s="94"/>
    </row>
    <row r="126" spans="1:12" ht="13.5" customHeight="1">
      <c r="A126" s="94"/>
      <c r="B126" s="94"/>
      <c r="C126" s="94"/>
      <c r="D126" s="94"/>
      <c r="E126" s="282"/>
      <c r="F126" s="282"/>
      <c r="G126" s="94"/>
      <c r="H126" s="94"/>
      <c r="I126" s="94"/>
      <c r="J126" s="94"/>
      <c r="K126" s="94"/>
      <c r="L126" s="94"/>
    </row>
    <row r="127" spans="1:12" ht="13.5" customHeight="1">
      <c r="A127" s="94"/>
      <c r="B127" s="94"/>
      <c r="C127" s="94"/>
      <c r="D127" s="94"/>
      <c r="E127" s="282"/>
      <c r="F127" s="282"/>
      <c r="G127" s="94"/>
      <c r="H127" s="94"/>
      <c r="I127" s="94"/>
      <c r="J127" s="94"/>
      <c r="K127" s="94"/>
      <c r="L127" s="94"/>
    </row>
    <row r="128" spans="1:12" ht="13.5" customHeight="1">
      <c r="A128" s="94"/>
      <c r="B128" s="94"/>
      <c r="C128" s="94"/>
      <c r="D128" s="94"/>
      <c r="E128" s="282"/>
      <c r="F128" s="282"/>
      <c r="G128" s="94"/>
      <c r="H128" s="94"/>
      <c r="I128" s="94"/>
      <c r="J128" s="94"/>
      <c r="K128" s="94"/>
      <c r="L128" s="94"/>
    </row>
    <row r="129" spans="1:12" ht="13.5" customHeight="1">
      <c r="A129" s="94"/>
      <c r="B129" s="94"/>
      <c r="C129" s="94"/>
      <c r="D129" s="94"/>
      <c r="E129" s="282"/>
      <c r="F129" s="282"/>
      <c r="G129" s="94"/>
      <c r="H129" s="94"/>
      <c r="I129" s="94"/>
      <c r="J129" s="94"/>
      <c r="K129" s="94"/>
      <c r="L129" s="94"/>
    </row>
    <row r="130" spans="1:12" ht="13.5" customHeight="1">
      <c r="A130" s="94"/>
      <c r="B130" s="94"/>
      <c r="C130" s="94"/>
      <c r="D130" s="94"/>
      <c r="E130" s="282"/>
      <c r="F130" s="282"/>
      <c r="G130" s="94"/>
      <c r="H130" s="94"/>
      <c r="I130" s="94"/>
      <c r="J130" s="94"/>
      <c r="K130" s="94"/>
      <c r="L130" s="94"/>
    </row>
    <row r="131" spans="1:12" ht="13.5" customHeight="1">
      <c r="A131" s="94"/>
      <c r="B131" s="94"/>
      <c r="C131" s="94"/>
      <c r="D131" s="94"/>
      <c r="E131" s="282"/>
      <c r="F131" s="282"/>
      <c r="G131" s="94"/>
      <c r="H131" s="94"/>
      <c r="I131" s="94"/>
      <c r="J131" s="94"/>
      <c r="K131" s="94"/>
      <c r="L131" s="94"/>
    </row>
    <row r="132" spans="1:12" ht="13.5" customHeight="1">
      <c r="A132" s="94"/>
      <c r="B132" s="94"/>
      <c r="C132" s="94"/>
      <c r="D132" s="94"/>
      <c r="E132" s="282"/>
      <c r="F132" s="282"/>
      <c r="G132" s="94"/>
      <c r="H132" s="94"/>
      <c r="I132" s="94"/>
      <c r="J132" s="94"/>
      <c r="K132" s="94"/>
      <c r="L132" s="94"/>
    </row>
    <row r="133" spans="1:12" ht="13.5" customHeight="1">
      <c r="A133" s="94"/>
      <c r="B133" s="94"/>
      <c r="C133" s="94"/>
      <c r="D133" s="94"/>
      <c r="E133" s="282"/>
      <c r="F133" s="282"/>
      <c r="G133" s="94"/>
      <c r="H133" s="94"/>
      <c r="I133" s="94"/>
      <c r="J133" s="94"/>
      <c r="K133" s="94"/>
      <c r="L133" s="94"/>
    </row>
    <row r="134" spans="1:12" ht="13.5" customHeight="1">
      <c r="A134" s="94"/>
      <c r="B134" s="94"/>
      <c r="C134" s="94"/>
      <c r="D134" s="94"/>
      <c r="E134" s="282"/>
      <c r="F134" s="282"/>
      <c r="G134" s="94"/>
      <c r="H134" s="94"/>
      <c r="I134" s="94"/>
      <c r="J134" s="94"/>
      <c r="K134" s="94"/>
      <c r="L134" s="94"/>
    </row>
    <row r="135" spans="1:12" ht="13.5" customHeight="1">
      <c r="A135" s="94"/>
      <c r="B135" s="94"/>
      <c r="C135" s="94"/>
      <c r="D135" s="94"/>
      <c r="E135" s="282"/>
      <c r="F135" s="282"/>
      <c r="G135" s="94"/>
      <c r="H135" s="94"/>
      <c r="I135" s="94"/>
      <c r="J135" s="94"/>
      <c r="K135" s="94"/>
      <c r="L135" s="94"/>
    </row>
    <row r="136" spans="1:12" ht="13.5" customHeight="1">
      <c r="A136" s="94"/>
      <c r="B136" s="94"/>
      <c r="C136" s="94"/>
      <c r="D136" s="94"/>
      <c r="E136" s="282"/>
      <c r="F136" s="282"/>
      <c r="G136" s="94"/>
      <c r="H136" s="94"/>
      <c r="I136" s="94"/>
      <c r="J136" s="94"/>
      <c r="K136" s="94"/>
      <c r="L136" s="94"/>
    </row>
    <row r="137" spans="1:12" ht="13.5" customHeight="1">
      <c r="A137" s="94"/>
      <c r="B137" s="94"/>
      <c r="C137" s="94"/>
      <c r="D137" s="94"/>
      <c r="E137" s="282"/>
      <c r="F137" s="282"/>
      <c r="G137" s="94"/>
      <c r="H137" s="94"/>
      <c r="I137" s="94"/>
      <c r="J137" s="94"/>
      <c r="K137" s="94"/>
      <c r="L137" s="94"/>
    </row>
    <row r="138" spans="1:12" ht="13.5" customHeight="1">
      <c r="A138" s="94"/>
      <c r="B138" s="94"/>
      <c r="C138" s="94"/>
      <c r="D138" s="94"/>
      <c r="E138" s="282"/>
      <c r="F138" s="282"/>
      <c r="G138" s="94"/>
      <c r="H138" s="94"/>
      <c r="I138" s="94"/>
      <c r="J138" s="94"/>
      <c r="K138" s="94"/>
      <c r="L138" s="94"/>
    </row>
    <row r="139" spans="1:12" ht="13.5" customHeight="1">
      <c r="A139" s="94"/>
      <c r="B139" s="94"/>
      <c r="C139" s="94"/>
      <c r="D139" s="94"/>
      <c r="E139" s="282"/>
      <c r="F139" s="282"/>
      <c r="G139" s="94"/>
      <c r="H139" s="94"/>
      <c r="I139" s="94"/>
      <c r="J139" s="94"/>
      <c r="K139" s="94"/>
      <c r="L139" s="94"/>
    </row>
    <row r="140" spans="1:12" ht="13.5" customHeight="1">
      <c r="A140" s="94"/>
      <c r="B140" s="94"/>
      <c r="C140" s="94"/>
      <c r="D140" s="94"/>
      <c r="E140" s="282"/>
      <c r="F140" s="282"/>
      <c r="G140" s="94"/>
      <c r="H140" s="94"/>
      <c r="I140" s="94"/>
      <c r="J140" s="94"/>
      <c r="K140" s="94"/>
      <c r="L140" s="94"/>
    </row>
    <row r="141" spans="1:12" ht="13.5" customHeight="1">
      <c r="A141" s="94"/>
      <c r="B141" s="94"/>
      <c r="C141" s="94"/>
      <c r="D141" s="94"/>
      <c r="E141" s="282"/>
      <c r="F141" s="282"/>
      <c r="G141" s="94"/>
      <c r="H141" s="94"/>
      <c r="I141" s="94"/>
      <c r="J141" s="94"/>
      <c r="K141" s="94"/>
      <c r="L141" s="94"/>
    </row>
    <row r="142" spans="1:12" ht="13.5" customHeight="1">
      <c r="A142" s="94"/>
      <c r="B142" s="94"/>
      <c r="C142" s="94"/>
      <c r="D142" s="94"/>
      <c r="E142" s="282"/>
      <c r="F142" s="282"/>
      <c r="G142" s="94"/>
      <c r="H142" s="94"/>
      <c r="I142" s="94"/>
      <c r="J142" s="94"/>
      <c r="K142" s="94"/>
      <c r="L142" s="94"/>
    </row>
    <row r="143" spans="1:12" ht="13.5" customHeight="1">
      <c r="A143" s="94"/>
      <c r="B143" s="94"/>
      <c r="C143" s="94"/>
      <c r="D143" s="94"/>
      <c r="E143" s="282"/>
      <c r="F143" s="282"/>
      <c r="G143" s="94"/>
      <c r="H143" s="94"/>
      <c r="I143" s="94"/>
      <c r="J143" s="94"/>
      <c r="K143" s="94"/>
      <c r="L143" s="94"/>
    </row>
    <row r="144" spans="1:12" ht="13.5" customHeight="1">
      <c r="A144" s="94"/>
      <c r="B144" s="94"/>
      <c r="C144" s="94"/>
      <c r="D144" s="94"/>
      <c r="E144" s="282"/>
      <c r="F144" s="282"/>
      <c r="G144" s="94"/>
      <c r="H144" s="94"/>
      <c r="I144" s="94"/>
      <c r="J144" s="94"/>
      <c r="K144" s="94"/>
      <c r="L144" s="94"/>
    </row>
    <row r="145" spans="1:12" ht="13.5" customHeight="1">
      <c r="A145" s="94"/>
      <c r="B145" s="94"/>
      <c r="C145" s="94"/>
      <c r="D145" s="94"/>
      <c r="E145" s="282"/>
      <c r="F145" s="282"/>
      <c r="G145" s="94"/>
      <c r="H145" s="94"/>
      <c r="I145" s="94"/>
      <c r="J145" s="94"/>
      <c r="K145" s="94"/>
      <c r="L145" s="94"/>
    </row>
    <row r="146" spans="1:12" ht="13.5" customHeight="1">
      <c r="A146" s="94"/>
      <c r="B146" s="94"/>
      <c r="C146" s="94"/>
      <c r="D146" s="94"/>
      <c r="E146" s="282"/>
      <c r="F146" s="282"/>
      <c r="G146" s="94"/>
      <c r="H146" s="94"/>
      <c r="I146" s="94"/>
      <c r="J146" s="94"/>
      <c r="K146" s="94"/>
      <c r="L146" s="94"/>
    </row>
    <row r="147" spans="1:12" ht="13.5" customHeight="1">
      <c r="A147" s="94"/>
      <c r="B147" s="94"/>
      <c r="C147" s="94"/>
      <c r="D147" s="94"/>
      <c r="E147" s="282"/>
      <c r="F147" s="282"/>
      <c r="G147" s="94"/>
      <c r="H147" s="94"/>
      <c r="I147" s="94"/>
      <c r="J147" s="94"/>
      <c r="K147" s="94"/>
      <c r="L147" s="94"/>
    </row>
    <row r="148" spans="1:12" ht="13.5" customHeight="1">
      <c r="A148" s="94"/>
      <c r="B148" s="94"/>
      <c r="C148" s="94"/>
      <c r="D148" s="94"/>
      <c r="E148" s="282"/>
      <c r="F148" s="282"/>
      <c r="G148" s="94"/>
      <c r="H148" s="94"/>
      <c r="I148" s="94"/>
      <c r="J148" s="94"/>
      <c r="K148" s="94"/>
      <c r="L148" s="94"/>
    </row>
    <row r="149" spans="1:12" ht="13.5" customHeight="1">
      <c r="A149" s="94"/>
      <c r="B149" s="94"/>
      <c r="C149" s="94"/>
      <c r="D149" s="94"/>
      <c r="E149" s="282"/>
      <c r="F149" s="282"/>
      <c r="G149" s="94"/>
      <c r="H149" s="94"/>
      <c r="I149" s="94"/>
      <c r="J149" s="94"/>
      <c r="K149" s="94"/>
      <c r="L149" s="94"/>
    </row>
    <row r="150" spans="1:12" ht="13.5" customHeight="1">
      <c r="A150" s="94"/>
      <c r="B150" s="94"/>
      <c r="C150" s="94"/>
      <c r="D150" s="94"/>
      <c r="E150" s="282"/>
      <c r="F150" s="282"/>
      <c r="G150" s="94"/>
      <c r="H150" s="94"/>
      <c r="I150" s="94"/>
      <c r="J150" s="94"/>
      <c r="K150" s="94"/>
      <c r="L150" s="94"/>
    </row>
    <row r="151" spans="1:12" ht="13.5" customHeight="1">
      <c r="A151" s="94"/>
      <c r="B151" s="94"/>
      <c r="C151" s="94"/>
      <c r="D151" s="94"/>
      <c r="E151" s="282"/>
      <c r="F151" s="282"/>
      <c r="G151" s="94"/>
      <c r="H151" s="94"/>
      <c r="I151" s="94"/>
      <c r="J151" s="94"/>
      <c r="K151" s="94"/>
      <c r="L151" s="94"/>
    </row>
    <row r="152" spans="1:12" ht="13.5" customHeight="1">
      <c r="A152" s="94"/>
      <c r="B152" s="94"/>
      <c r="C152" s="94"/>
      <c r="D152" s="94"/>
      <c r="E152" s="282"/>
      <c r="F152" s="282"/>
      <c r="G152" s="94"/>
      <c r="H152" s="94"/>
      <c r="I152" s="94"/>
      <c r="J152" s="94"/>
      <c r="K152" s="94"/>
      <c r="L152" s="94"/>
    </row>
    <row r="153" spans="1:12" ht="13.5" customHeight="1">
      <c r="A153" s="94"/>
      <c r="B153" s="94"/>
      <c r="C153" s="94"/>
      <c r="D153" s="94"/>
      <c r="E153" s="282"/>
      <c r="F153" s="282"/>
      <c r="G153" s="94"/>
      <c r="H153" s="94"/>
      <c r="I153" s="94"/>
      <c r="J153" s="94"/>
      <c r="K153" s="94"/>
      <c r="L153" s="94"/>
    </row>
    <row r="154" spans="1:12" ht="13.5" customHeight="1">
      <c r="A154" s="94"/>
      <c r="B154" s="94"/>
      <c r="C154" s="94"/>
      <c r="D154" s="94"/>
      <c r="E154" s="282"/>
      <c r="F154" s="282"/>
      <c r="G154" s="94"/>
      <c r="H154" s="94"/>
      <c r="I154" s="94"/>
      <c r="J154" s="94"/>
      <c r="K154" s="94"/>
      <c r="L154" s="94"/>
    </row>
    <row r="155" spans="1:12" ht="13.5" customHeight="1">
      <c r="A155" s="94"/>
      <c r="B155" s="94"/>
      <c r="C155" s="94"/>
      <c r="D155" s="94"/>
      <c r="E155" s="282"/>
      <c r="F155" s="282"/>
      <c r="G155" s="94"/>
      <c r="H155" s="94"/>
      <c r="I155" s="94"/>
      <c r="J155" s="94"/>
      <c r="K155" s="94"/>
      <c r="L155" s="94"/>
    </row>
    <row r="156" spans="1:12" ht="13.5" customHeight="1">
      <c r="A156" s="94"/>
      <c r="B156" s="94"/>
      <c r="C156" s="94"/>
      <c r="D156" s="94"/>
      <c r="E156" s="282"/>
      <c r="F156" s="282"/>
      <c r="G156" s="94"/>
      <c r="H156" s="94"/>
      <c r="I156" s="94"/>
      <c r="J156" s="94"/>
      <c r="K156" s="94"/>
      <c r="L156" s="94"/>
    </row>
    <row r="157" spans="1:12" ht="13.5" customHeight="1">
      <c r="A157" s="94"/>
      <c r="B157" s="94"/>
      <c r="C157" s="94"/>
      <c r="D157" s="94"/>
      <c r="E157" s="282"/>
      <c r="F157" s="282"/>
      <c r="G157" s="94"/>
      <c r="H157" s="94"/>
      <c r="I157" s="94"/>
      <c r="J157" s="94"/>
      <c r="K157" s="94"/>
      <c r="L157" s="94"/>
    </row>
    <row r="158" spans="1:12" ht="13.5" customHeight="1">
      <c r="A158" s="94"/>
      <c r="B158" s="94"/>
      <c r="C158" s="94"/>
      <c r="D158" s="94"/>
      <c r="E158" s="282"/>
      <c r="F158" s="282"/>
      <c r="G158" s="94"/>
      <c r="H158" s="94"/>
      <c r="I158" s="94"/>
      <c r="J158" s="94"/>
      <c r="K158" s="94"/>
      <c r="L158" s="94"/>
    </row>
    <row r="159" spans="1:12" ht="13.5" customHeight="1">
      <c r="A159" s="94"/>
      <c r="B159" s="94"/>
      <c r="C159" s="94"/>
      <c r="D159" s="94"/>
      <c r="E159" s="282"/>
      <c r="F159" s="282"/>
      <c r="G159" s="94"/>
      <c r="H159" s="94"/>
      <c r="I159" s="94"/>
      <c r="J159" s="94"/>
      <c r="K159" s="94"/>
      <c r="L159" s="94"/>
    </row>
    <row r="160" spans="1:12" ht="13.5" customHeight="1">
      <c r="A160" s="94"/>
      <c r="B160" s="94"/>
      <c r="C160" s="94"/>
      <c r="D160" s="94"/>
      <c r="E160" s="282"/>
      <c r="F160" s="282"/>
      <c r="G160" s="94"/>
      <c r="H160" s="94"/>
      <c r="I160" s="94"/>
      <c r="J160" s="94"/>
      <c r="K160" s="94"/>
      <c r="L160" s="94"/>
    </row>
    <row r="161" spans="1:12" ht="13.5" customHeight="1">
      <c r="A161" s="94"/>
      <c r="B161" s="94"/>
      <c r="C161" s="94"/>
      <c r="D161" s="94"/>
      <c r="E161" s="282"/>
      <c r="F161" s="282"/>
      <c r="G161" s="94"/>
      <c r="H161" s="94"/>
      <c r="I161" s="94"/>
      <c r="J161" s="94"/>
      <c r="K161" s="94"/>
      <c r="L161" s="94"/>
    </row>
    <row r="162" spans="1:12" ht="13.5" customHeight="1">
      <c r="A162" s="94"/>
      <c r="B162" s="94"/>
      <c r="C162" s="94"/>
      <c r="D162" s="94"/>
      <c r="E162" s="282"/>
      <c r="F162" s="282"/>
      <c r="G162" s="94"/>
      <c r="H162" s="94"/>
      <c r="I162" s="94"/>
      <c r="J162" s="94"/>
      <c r="K162" s="94"/>
      <c r="L162" s="94"/>
    </row>
    <row r="163" spans="1:12" ht="13.5" customHeight="1">
      <c r="A163" s="94"/>
      <c r="B163" s="94"/>
      <c r="C163" s="94"/>
      <c r="D163" s="94"/>
      <c r="E163" s="282"/>
      <c r="F163" s="282"/>
      <c r="G163" s="94"/>
      <c r="H163" s="94"/>
      <c r="I163" s="94"/>
      <c r="J163" s="94"/>
      <c r="K163" s="94"/>
      <c r="L163" s="94"/>
    </row>
    <row r="164" spans="1:12" ht="13.5" customHeight="1">
      <c r="A164" s="94"/>
      <c r="B164" s="94"/>
      <c r="C164" s="94"/>
      <c r="D164" s="94"/>
      <c r="E164" s="282"/>
      <c r="F164" s="282"/>
      <c r="G164" s="94"/>
      <c r="H164" s="94"/>
      <c r="I164" s="94"/>
      <c r="J164" s="94"/>
      <c r="K164" s="94"/>
      <c r="L164" s="94"/>
    </row>
    <row r="165" spans="1:12" ht="13.5" customHeight="1">
      <c r="A165" s="94"/>
      <c r="B165" s="94"/>
      <c r="C165" s="94"/>
      <c r="D165" s="94"/>
      <c r="E165" s="282"/>
      <c r="F165" s="282"/>
      <c r="G165" s="94"/>
      <c r="H165" s="94"/>
      <c r="I165" s="94"/>
      <c r="J165" s="94"/>
      <c r="K165" s="94"/>
      <c r="L165" s="94"/>
    </row>
    <row r="166" spans="1:12" ht="13.5" customHeight="1">
      <c r="A166" s="94"/>
      <c r="B166" s="94"/>
      <c r="C166" s="94"/>
      <c r="D166" s="94"/>
      <c r="E166" s="282"/>
      <c r="F166" s="282"/>
      <c r="G166" s="94"/>
      <c r="H166" s="94"/>
      <c r="I166" s="94"/>
      <c r="J166" s="94"/>
      <c r="K166" s="94"/>
      <c r="L166" s="94"/>
    </row>
    <row r="167" spans="1:12" ht="13.5" customHeight="1">
      <c r="A167" s="94"/>
      <c r="B167" s="94"/>
      <c r="C167" s="94"/>
      <c r="D167" s="94"/>
      <c r="E167" s="282"/>
      <c r="F167" s="282"/>
      <c r="G167" s="94"/>
      <c r="H167" s="94"/>
      <c r="I167" s="94"/>
      <c r="J167" s="94"/>
      <c r="K167" s="94"/>
      <c r="L167" s="94"/>
    </row>
    <row r="168" spans="1:12" ht="13.5" customHeight="1">
      <c r="A168" s="94"/>
      <c r="B168" s="94"/>
      <c r="C168" s="94"/>
      <c r="D168" s="94"/>
      <c r="E168" s="282"/>
      <c r="F168" s="282"/>
      <c r="G168" s="94"/>
      <c r="H168" s="94"/>
      <c r="I168" s="94"/>
      <c r="J168" s="94"/>
      <c r="K168" s="94"/>
      <c r="L168" s="94"/>
    </row>
    <row r="169" spans="1:12" ht="13.5" customHeight="1">
      <c r="A169" s="94"/>
      <c r="B169" s="94"/>
      <c r="C169" s="94"/>
      <c r="D169" s="94"/>
      <c r="E169" s="282"/>
      <c r="F169" s="282"/>
      <c r="G169" s="94"/>
      <c r="H169" s="94"/>
      <c r="I169" s="94"/>
      <c r="J169" s="94"/>
      <c r="K169" s="94"/>
      <c r="L169" s="94"/>
    </row>
    <row r="170" spans="1:12" ht="13.5" customHeight="1">
      <c r="A170" s="94"/>
      <c r="B170" s="94"/>
      <c r="C170" s="94"/>
      <c r="D170" s="94"/>
      <c r="E170" s="282"/>
      <c r="F170" s="282"/>
      <c r="G170" s="94"/>
      <c r="H170" s="94"/>
      <c r="I170" s="94"/>
      <c r="J170" s="94"/>
      <c r="K170" s="94"/>
      <c r="L170" s="94"/>
    </row>
    <row r="171" spans="1:12" ht="13.5" customHeight="1">
      <c r="A171" s="94"/>
      <c r="B171" s="94"/>
      <c r="C171" s="94"/>
      <c r="D171" s="94"/>
      <c r="E171" s="282"/>
      <c r="F171" s="282"/>
      <c r="G171" s="94"/>
      <c r="H171" s="94"/>
      <c r="I171" s="94"/>
      <c r="J171" s="94"/>
      <c r="K171" s="94"/>
      <c r="L171" s="94"/>
    </row>
    <row r="172" spans="1:12" ht="13.5" customHeight="1">
      <c r="A172" s="94"/>
      <c r="B172" s="94"/>
      <c r="C172" s="94"/>
      <c r="D172" s="94"/>
      <c r="E172" s="282"/>
      <c r="F172" s="282"/>
      <c r="G172" s="94"/>
      <c r="H172" s="94"/>
      <c r="I172" s="94"/>
      <c r="J172" s="94"/>
      <c r="K172" s="94"/>
      <c r="L172" s="94"/>
    </row>
    <row r="173" spans="1:12" ht="13.5" customHeight="1">
      <c r="A173" s="94"/>
      <c r="B173" s="94"/>
      <c r="C173" s="94"/>
      <c r="D173" s="94"/>
      <c r="E173" s="282"/>
      <c r="F173" s="282"/>
      <c r="G173" s="94"/>
      <c r="H173" s="94"/>
      <c r="I173" s="94"/>
      <c r="J173" s="94"/>
      <c r="K173" s="94"/>
      <c r="L173" s="94"/>
    </row>
    <row r="174" spans="1:12" ht="13.5" customHeight="1">
      <c r="A174" s="94"/>
      <c r="B174" s="94"/>
      <c r="C174" s="94"/>
      <c r="D174" s="94"/>
      <c r="E174" s="282"/>
      <c r="F174" s="282"/>
      <c r="G174" s="94"/>
      <c r="H174" s="94"/>
      <c r="I174" s="94"/>
      <c r="J174" s="94"/>
      <c r="K174" s="94"/>
      <c r="L174" s="94"/>
    </row>
    <row r="175" spans="1:12" ht="13.5" customHeight="1">
      <c r="A175" s="94"/>
      <c r="B175" s="94"/>
      <c r="C175" s="94"/>
      <c r="D175" s="94"/>
      <c r="E175" s="282"/>
      <c r="F175" s="282"/>
      <c r="G175" s="94"/>
      <c r="H175" s="94"/>
      <c r="I175" s="94"/>
      <c r="J175" s="94"/>
      <c r="K175" s="94"/>
      <c r="L175" s="94"/>
    </row>
    <row r="176" spans="1:12" ht="13.5" customHeight="1">
      <c r="A176" s="94"/>
      <c r="B176" s="94"/>
      <c r="C176" s="94"/>
      <c r="D176" s="94"/>
      <c r="E176" s="282"/>
      <c r="F176" s="282"/>
      <c r="G176" s="94"/>
      <c r="H176" s="94"/>
      <c r="I176" s="94"/>
      <c r="J176" s="94"/>
      <c r="K176" s="94"/>
      <c r="L176" s="94"/>
    </row>
    <row r="177" spans="1:12" ht="13.5" customHeight="1">
      <c r="A177" s="94"/>
      <c r="B177" s="94"/>
      <c r="C177" s="94"/>
      <c r="D177" s="94"/>
      <c r="E177" s="282"/>
      <c r="F177" s="282"/>
      <c r="G177" s="94"/>
      <c r="H177" s="94"/>
      <c r="I177" s="94"/>
      <c r="J177" s="94"/>
      <c r="K177" s="94"/>
      <c r="L177" s="94"/>
    </row>
    <row r="178" spans="1:12" ht="13.5" customHeight="1">
      <c r="A178" s="94"/>
      <c r="B178" s="94"/>
      <c r="C178" s="94"/>
      <c r="D178" s="94"/>
      <c r="E178" s="282"/>
      <c r="F178" s="282"/>
      <c r="G178" s="94"/>
      <c r="H178" s="94"/>
      <c r="I178" s="94"/>
      <c r="J178" s="94"/>
      <c r="K178" s="94"/>
      <c r="L178" s="94"/>
    </row>
    <row r="179" spans="1:12" ht="13.5" customHeight="1">
      <c r="A179" s="94"/>
      <c r="B179" s="94"/>
      <c r="C179" s="94"/>
      <c r="D179" s="94"/>
      <c r="E179" s="282"/>
      <c r="F179" s="282"/>
      <c r="G179" s="94"/>
      <c r="H179" s="94"/>
      <c r="I179" s="94"/>
      <c r="J179" s="94"/>
      <c r="K179" s="94"/>
      <c r="L179" s="94"/>
    </row>
    <row r="180" spans="1:12" ht="13.5" customHeight="1">
      <c r="A180" s="94"/>
      <c r="B180" s="94"/>
      <c r="C180" s="94"/>
      <c r="D180" s="94"/>
      <c r="E180" s="282"/>
      <c r="F180" s="282"/>
      <c r="G180" s="94"/>
      <c r="H180" s="94"/>
      <c r="I180" s="94"/>
      <c r="J180" s="94"/>
      <c r="K180" s="94"/>
      <c r="L180" s="94"/>
    </row>
    <row r="181" spans="1:12" ht="13.5" customHeight="1">
      <c r="A181" s="94"/>
      <c r="B181" s="94"/>
      <c r="C181" s="94"/>
      <c r="D181" s="94"/>
      <c r="E181" s="282"/>
      <c r="F181" s="282"/>
      <c r="G181" s="94"/>
      <c r="H181" s="94"/>
      <c r="I181" s="94"/>
      <c r="J181" s="94"/>
      <c r="K181" s="94"/>
      <c r="L181" s="94"/>
    </row>
    <row r="182" spans="1:12" ht="13.5" customHeight="1">
      <c r="A182" s="94"/>
      <c r="B182" s="94"/>
      <c r="C182" s="94"/>
      <c r="D182" s="94"/>
      <c r="E182" s="282"/>
      <c r="F182" s="282"/>
      <c r="G182" s="94"/>
      <c r="H182" s="94"/>
      <c r="I182" s="94"/>
      <c r="J182" s="94"/>
      <c r="K182" s="94"/>
      <c r="L182" s="94"/>
    </row>
    <row r="183" spans="1:12" ht="13.5" customHeight="1">
      <c r="A183" s="94"/>
      <c r="B183" s="94"/>
      <c r="C183" s="94"/>
      <c r="D183" s="94"/>
      <c r="E183" s="282"/>
      <c r="F183" s="282"/>
      <c r="G183" s="94"/>
      <c r="H183" s="94"/>
      <c r="I183" s="94"/>
      <c r="J183" s="94"/>
      <c r="K183" s="94"/>
      <c r="L183" s="94"/>
    </row>
    <row r="184" spans="1:12" ht="13.5" customHeight="1">
      <c r="A184" s="94"/>
      <c r="B184" s="94"/>
      <c r="C184" s="94"/>
      <c r="D184" s="94"/>
      <c r="E184" s="282"/>
      <c r="F184" s="282"/>
      <c r="G184" s="94"/>
      <c r="H184" s="94"/>
      <c r="I184" s="94"/>
      <c r="J184" s="94"/>
      <c r="K184" s="94"/>
      <c r="L184" s="94"/>
    </row>
    <row r="185" spans="1:12" ht="13.5" customHeight="1">
      <c r="A185" s="94"/>
      <c r="B185" s="94"/>
      <c r="C185" s="94"/>
      <c r="D185" s="94"/>
      <c r="E185" s="282"/>
      <c r="F185" s="282"/>
      <c r="G185" s="94"/>
      <c r="H185" s="94"/>
      <c r="I185" s="94"/>
      <c r="J185" s="94"/>
      <c r="K185" s="94"/>
      <c r="L185" s="94"/>
    </row>
    <row r="186" spans="1:12" ht="13.5" customHeight="1">
      <c r="A186" s="94"/>
      <c r="B186" s="94"/>
      <c r="C186" s="94"/>
      <c r="D186" s="94"/>
      <c r="E186" s="282"/>
      <c r="F186" s="282"/>
      <c r="G186" s="94"/>
      <c r="H186" s="94"/>
      <c r="I186" s="94"/>
      <c r="J186" s="94"/>
      <c r="K186" s="94"/>
      <c r="L186" s="94"/>
    </row>
    <row r="187" spans="1:12" ht="13.5" customHeight="1">
      <c r="A187" s="94"/>
      <c r="B187" s="94"/>
      <c r="C187" s="94"/>
      <c r="D187" s="94"/>
      <c r="E187" s="282"/>
      <c r="F187" s="282"/>
      <c r="G187" s="94"/>
      <c r="H187" s="94"/>
      <c r="I187" s="94"/>
      <c r="J187" s="94"/>
      <c r="K187" s="94"/>
      <c r="L187" s="94"/>
    </row>
    <row r="188" spans="1:12" ht="13.5" customHeight="1">
      <c r="A188" s="94"/>
      <c r="B188" s="94"/>
      <c r="C188" s="94"/>
      <c r="D188" s="94"/>
      <c r="E188" s="282"/>
      <c r="F188" s="282"/>
      <c r="G188" s="94"/>
      <c r="H188" s="94"/>
      <c r="I188" s="94"/>
      <c r="J188" s="94"/>
      <c r="K188" s="94"/>
      <c r="L188" s="94"/>
    </row>
    <row r="189" spans="1:12" ht="13.5" customHeight="1">
      <c r="A189" s="94"/>
      <c r="B189" s="94"/>
      <c r="C189" s="94"/>
      <c r="D189" s="94"/>
      <c r="E189" s="282"/>
      <c r="F189" s="282"/>
      <c r="G189" s="94"/>
      <c r="H189" s="94"/>
      <c r="I189" s="94"/>
      <c r="J189" s="94"/>
      <c r="K189" s="94"/>
      <c r="L189" s="94"/>
    </row>
    <row r="190" spans="1:12" ht="13.5" customHeight="1">
      <c r="A190" s="94"/>
      <c r="B190" s="94"/>
      <c r="C190" s="94"/>
      <c r="D190" s="94"/>
      <c r="E190" s="282"/>
      <c r="F190" s="282"/>
      <c r="G190" s="94"/>
      <c r="H190" s="94"/>
      <c r="I190" s="94"/>
      <c r="J190" s="94"/>
      <c r="K190" s="94"/>
      <c r="L190" s="94"/>
    </row>
    <row r="191" spans="1:12" ht="13.5" customHeight="1">
      <c r="A191" s="94"/>
      <c r="B191" s="94"/>
      <c r="C191" s="94"/>
      <c r="D191" s="94"/>
      <c r="E191" s="282"/>
      <c r="F191" s="282"/>
      <c r="G191" s="94"/>
      <c r="H191" s="94"/>
      <c r="I191" s="94"/>
      <c r="J191" s="94"/>
      <c r="K191" s="94"/>
      <c r="L191" s="94"/>
    </row>
    <row r="192" spans="1:12" ht="13.5" customHeight="1">
      <c r="A192" s="94"/>
      <c r="B192" s="94"/>
      <c r="C192" s="94"/>
      <c r="D192" s="94"/>
      <c r="E192" s="282"/>
      <c r="F192" s="282"/>
      <c r="G192" s="94"/>
      <c r="H192" s="94"/>
      <c r="I192" s="94"/>
      <c r="J192" s="94"/>
      <c r="K192" s="94"/>
      <c r="L192" s="94"/>
    </row>
    <row r="193" spans="1:12" ht="13.5" customHeight="1">
      <c r="A193" s="94"/>
      <c r="B193" s="94"/>
      <c r="C193" s="94"/>
      <c r="D193" s="94"/>
      <c r="E193" s="282"/>
      <c r="F193" s="282"/>
      <c r="G193" s="94"/>
      <c r="H193" s="94"/>
      <c r="I193" s="94"/>
      <c r="J193" s="94"/>
      <c r="K193" s="94"/>
      <c r="L193" s="94"/>
    </row>
    <row r="194" spans="1:12" ht="13.5" customHeight="1">
      <c r="A194" s="94"/>
      <c r="B194" s="94"/>
      <c r="C194" s="94"/>
      <c r="D194" s="94"/>
      <c r="E194" s="282"/>
      <c r="F194" s="282"/>
      <c r="G194" s="94"/>
      <c r="H194" s="94"/>
      <c r="I194" s="94"/>
      <c r="J194" s="94"/>
      <c r="K194" s="94"/>
      <c r="L194" s="94"/>
    </row>
    <row r="195" spans="1:12" ht="13.5" customHeight="1">
      <c r="A195" s="94"/>
      <c r="B195" s="94"/>
      <c r="C195" s="94"/>
      <c r="D195" s="94"/>
      <c r="E195" s="282"/>
      <c r="F195" s="282"/>
      <c r="G195" s="94"/>
      <c r="H195" s="94"/>
      <c r="I195" s="94"/>
      <c r="J195" s="94"/>
      <c r="K195" s="94"/>
      <c r="L195" s="94"/>
    </row>
    <row r="196" spans="1:12" ht="13.5" customHeight="1">
      <c r="A196" s="94"/>
      <c r="B196" s="94"/>
      <c r="C196" s="94"/>
      <c r="D196" s="94"/>
      <c r="E196" s="282"/>
      <c r="F196" s="282"/>
      <c r="G196" s="94"/>
      <c r="H196" s="94"/>
      <c r="I196" s="94"/>
      <c r="J196" s="94"/>
      <c r="K196" s="94"/>
      <c r="L196" s="94"/>
    </row>
    <row r="197" spans="1:12" ht="13.5" customHeight="1">
      <c r="A197" s="94"/>
      <c r="B197" s="94"/>
      <c r="C197" s="94"/>
      <c r="D197" s="94"/>
      <c r="E197" s="282"/>
      <c r="F197" s="282"/>
      <c r="G197" s="94"/>
      <c r="H197" s="94"/>
      <c r="I197" s="94"/>
      <c r="J197" s="94"/>
      <c r="K197" s="94"/>
      <c r="L197" s="94"/>
    </row>
    <row r="198" spans="1:12" ht="13.5" customHeight="1">
      <c r="A198" s="94"/>
      <c r="B198" s="94"/>
      <c r="C198" s="94"/>
      <c r="D198" s="94"/>
      <c r="E198" s="282"/>
      <c r="F198" s="282"/>
      <c r="G198" s="94"/>
      <c r="H198" s="94"/>
      <c r="I198" s="94"/>
      <c r="J198" s="94"/>
      <c r="K198" s="94"/>
      <c r="L198" s="94"/>
    </row>
    <row r="199" spans="1:12" ht="13.5" customHeight="1">
      <c r="A199" s="94"/>
      <c r="B199" s="94"/>
      <c r="C199" s="94"/>
      <c r="D199" s="94"/>
      <c r="E199" s="282"/>
      <c r="F199" s="282"/>
      <c r="G199" s="94"/>
      <c r="H199" s="94"/>
      <c r="I199" s="94"/>
      <c r="J199" s="94"/>
      <c r="K199" s="94"/>
      <c r="L199" s="94"/>
    </row>
    <row r="200" spans="1:12" ht="13.5" customHeight="1">
      <c r="A200" s="94"/>
      <c r="B200" s="94"/>
      <c r="C200" s="94"/>
      <c r="D200" s="94"/>
      <c r="E200" s="282"/>
      <c r="F200" s="282"/>
      <c r="G200" s="94"/>
      <c r="H200" s="94"/>
      <c r="I200" s="94"/>
      <c r="J200" s="94"/>
      <c r="K200" s="94"/>
      <c r="L200" s="94"/>
    </row>
    <row r="201" spans="1:12" ht="13.5" customHeight="1">
      <c r="A201" s="94"/>
      <c r="B201" s="94"/>
      <c r="C201" s="94"/>
      <c r="D201" s="94"/>
      <c r="E201" s="282"/>
      <c r="F201" s="282"/>
      <c r="G201" s="94"/>
      <c r="H201" s="94"/>
      <c r="I201" s="94"/>
      <c r="J201" s="94"/>
      <c r="K201" s="94"/>
      <c r="L201" s="94"/>
    </row>
    <row r="202" spans="1:12" ht="13.5" customHeight="1">
      <c r="A202" s="94"/>
      <c r="B202" s="94"/>
      <c r="C202" s="94"/>
      <c r="D202" s="94"/>
      <c r="E202" s="282"/>
      <c r="F202" s="282"/>
      <c r="G202" s="94"/>
      <c r="H202" s="94"/>
      <c r="I202" s="94"/>
      <c r="J202" s="94"/>
      <c r="K202" s="94"/>
      <c r="L202" s="94"/>
    </row>
    <row r="203" spans="1:12" ht="13.5" customHeight="1">
      <c r="A203" s="94"/>
      <c r="B203" s="94"/>
      <c r="C203" s="94"/>
      <c r="D203" s="94"/>
      <c r="E203" s="282"/>
      <c r="F203" s="282"/>
      <c r="G203" s="94"/>
      <c r="H203" s="94"/>
      <c r="I203" s="94"/>
      <c r="J203" s="94"/>
      <c r="K203" s="94"/>
      <c r="L203" s="94"/>
    </row>
    <row r="204" spans="1:12" ht="13.5" customHeight="1">
      <c r="A204" s="94"/>
      <c r="B204" s="94"/>
      <c r="C204" s="94"/>
      <c r="D204" s="94"/>
      <c r="E204" s="282"/>
      <c r="F204" s="282"/>
      <c r="G204" s="94"/>
      <c r="H204" s="94"/>
      <c r="I204" s="94"/>
      <c r="J204" s="94"/>
      <c r="K204" s="94"/>
      <c r="L204" s="94"/>
    </row>
    <row r="205" spans="1:12" ht="13.5" customHeight="1">
      <c r="A205" s="94"/>
      <c r="B205" s="94"/>
      <c r="C205" s="94"/>
      <c r="D205" s="94"/>
      <c r="E205" s="282"/>
      <c r="F205" s="282"/>
      <c r="G205" s="94"/>
      <c r="H205" s="94"/>
      <c r="I205" s="94"/>
      <c r="J205" s="94"/>
      <c r="K205" s="94"/>
      <c r="L205" s="94"/>
    </row>
    <row r="206" spans="1:12" ht="13.5" customHeight="1">
      <c r="A206" s="94"/>
      <c r="B206" s="94"/>
      <c r="C206" s="94"/>
      <c r="D206" s="94"/>
      <c r="E206" s="282"/>
      <c r="F206" s="282"/>
      <c r="G206" s="94"/>
      <c r="H206" s="94"/>
      <c r="I206" s="94"/>
      <c r="J206" s="94"/>
      <c r="K206" s="94"/>
      <c r="L206" s="94"/>
    </row>
    <row r="207" spans="1:12" ht="13.5" customHeight="1">
      <c r="A207" s="94"/>
      <c r="B207" s="94"/>
      <c r="C207" s="94"/>
      <c r="D207" s="94"/>
      <c r="E207" s="282"/>
      <c r="F207" s="282"/>
      <c r="G207" s="94"/>
      <c r="H207" s="94"/>
      <c r="I207" s="94"/>
      <c r="J207" s="94"/>
      <c r="K207" s="94"/>
      <c r="L207" s="94"/>
    </row>
    <row r="208" spans="1:12" ht="13.5" customHeight="1">
      <c r="A208" s="94"/>
      <c r="B208" s="94"/>
      <c r="C208" s="94"/>
      <c r="D208" s="94"/>
      <c r="E208" s="282"/>
      <c r="F208" s="282"/>
      <c r="G208" s="94"/>
      <c r="H208" s="94"/>
      <c r="I208" s="94"/>
      <c r="J208" s="94"/>
      <c r="K208" s="94"/>
      <c r="L208" s="94"/>
    </row>
    <row r="209" spans="1:12" ht="13.5" customHeight="1">
      <c r="A209" s="94"/>
      <c r="B209" s="94"/>
      <c r="C209" s="94"/>
      <c r="D209" s="94"/>
      <c r="E209" s="282"/>
      <c r="F209" s="282"/>
      <c r="G209" s="94"/>
      <c r="H209" s="94"/>
      <c r="I209" s="94"/>
      <c r="J209" s="94"/>
      <c r="K209" s="94"/>
      <c r="L209" s="94"/>
    </row>
    <row r="210" spans="1:12" ht="13.5" customHeight="1">
      <c r="A210" s="94"/>
      <c r="B210" s="94"/>
      <c r="C210" s="94"/>
      <c r="D210" s="94"/>
      <c r="E210" s="282"/>
      <c r="F210" s="282"/>
      <c r="G210" s="94"/>
      <c r="H210" s="94"/>
      <c r="I210" s="94"/>
      <c r="J210" s="94"/>
      <c r="K210" s="94"/>
      <c r="L210" s="94"/>
    </row>
    <row r="211" spans="1:12" ht="13.5" customHeight="1">
      <c r="A211" s="94"/>
      <c r="B211" s="94"/>
      <c r="C211" s="94"/>
      <c r="D211" s="94"/>
      <c r="E211" s="282"/>
      <c r="F211" s="282"/>
      <c r="G211" s="94"/>
      <c r="H211" s="94"/>
      <c r="I211" s="94"/>
      <c r="J211" s="94"/>
      <c r="K211" s="94"/>
      <c r="L211" s="94"/>
    </row>
    <row r="212" spans="1:12" ht="13.5" customHeight="1">
      <c r="A212" s="94"/>
      <c r="B212" s="94"/>
      <c r="C212" s="94"/>
      <c r="D212" s="94"/>
      <c r="E212" s="282"/>
      <c r="F212" s="282"/>
      <c r="G212" s="94"/>
      <c r="H212" s="94"/>
      <c r="I212" s="94"/>
      <c r="J212" s="94"/>
      <c r="K212" s="94"/>
      <c r="L212" s="94"/>
    </row>
    <row r="213" spans="1:12" ht="13.5" customHeight="1">
      <c r="A213" s="94"/>
      <c r="B213" s="94"/>
      <c r="C213" s="94"/>
      <c r="D213" s="94"/>
      <c r="E213" s="282"/>
      <c r="F213" s="282"/>
      <c r="G213" s="94"/>
      <c r="H213" s="94"/>
      <c r="I213" s="94"/>
      <c r="J213" s="94"/>
      <c r="K213" s="94"/>
      <c r="L213" s="94"/>
    </row>
    <row r="214" spans="1:12" ht="13.5" customHeight="1">
      <c r="A214" s="94"/>
      <c r="B214" s="94"/>
      <c r="C214" s="94"/>
      <c r="D214" s="94"/>
      <c r="E214" s="282"/>
      <c r="F214" s="282"/>
      <c r="G214" s="94"/>
      <c r="H214" s="94"/>
      <c r="I214" s="94"/>
      <c r="J214" s="94"/>
      <c r="K214" s="94"/>
      <c r="L214" s="94"/>
    </row>
    <row r="215" spans="1:12" ht="13.5" customHeight="1">
      <c r="A215" s="94"/>
      <c r="B215" s="94"/>
      <c r="C215" s="94"/>
      <c r="D215" s="94"/>
      <c r="E215" s="282"/>
      <c r="F215" s="282"/>
      <c r="G215" s="94"/>
      <c r="H215" s="94"/>
      <c r="I215" s="94"/>
      <c r="J215" s="94"/>
      <c r="K215" s="94"/>
      <c r="L215" s="94"/>
    </row>
    <row r="216" spans="1:12" ht="13.5" customHeight="1">
      <c r="A216" s="94"/>
      <c r="B216" s="94"/>
      <c r="C216" s="94"/>
      <c r="D216" s="94"/>
      <c r="E216" s="282"/>
      <c r="F216" s="282"/>
      <c r="G216" s="94"/>
      <c r="H216" s="94"/>
      <c r="I216" s="94"/>
      <c r="J216" s="94"/>
      <c r="K216" s="94"/>
      <c r="L216" s="94"/>
    </row>
    <row r="217" spans="1:12" ht="13.5" customHeight="1">
      <c r="A217" s="94"/>
      <c r="B217" s="94"/>
      <c r="C217" s="94"/>
      <c r="D217" s="94"/>
      <c r="E217" s="282"/>
      <c r="F217" s="282"/>
      <c r="G217" s="94"/>
      <c r="H217" s="94"/>
      <c r="I217" s="94"/>
      <c r="J217" s="94"/>
      <c r="K217" s="94"/>
      <c r="L217" s="94"/>
    </row>
    <row r="218" spans="1:12" ht="13.5" customHeight="1">
      <c r="A218" s="94"/>
      <c r="B218" s="94"/>
      <c r="C218" s="94"/>
      <c r="D218" s="94"/>
      <c r="E218" s="282"/>
      <c r="F218" s="282"/>
      <c r="G218" s="94"/>
      <c r="H218" s="94"/>
      <c r="I218" s="94"/>
      <c r="J218" s="94"/>
      <c r="K218" s="94"/>
      <c r="L218" s="94"/>
    </row>
    <row r="219" spans="1:12" ht="13.5" customHeight="1">
      <c r="A219" s="94"/>
      <c r="B219" s="94"/>
      <c r="C219" s="94"/>
      <c r="D219" s="94"/>
      <c r="E219" s="282"/>
      <c r="F219" s="282"/>
      <c r="G219" s="94"/>
      <c r="H219" s="94"/>
      <c r="I219" s="94"/>
      <c r="J219" s="94"/>
      <c r="K219" s="94"/>
      <c r="L219" s="94"/>
    </row>
    <row r="220" spans="1:12" ht="13.5" customHeight="1">
      <c r="A220" s="94"/>
      <c r="B220" s="94"/>
      <c r="C220" s="94"/>
      <c r="D220" s="94"/>
      <c r="E220" s="282"/>
      <c r="F220" s="282"/>
      <c r="G220" s="94"/>
      <c r="H220" s="94"/>
      <c r="I220" s="94"/>
      <c r="J220" s="94"/>
      <c r="K220" s="94"/>
      <c r="L220" s="94"/>
    </row>
    <row r="221" spans="1:12" ht="13.5" customHeight="1">
      <c r="A221" s="94"/>
      <c r="B221" s="94"/>
      <c r="C221" s="94"/>
      <c r="D221" s="94"/>
      <c r="E221" s="282"/>
      <c r="F221" s="282"/>
      <c r="G221" s="94"/>
      <c r="H221" s="94"/>
      <c r="I221" s="94"/>
      <c r="J221" s="94"/>
      <c r="K221" s="94"/>
      <c r="L221" s="94"/>
    </row>
    <row r="222" spans="1:12" ht="13.5" customHeight="1">
      <c r="A222" s="94"/>
      <c r="B222" s="94"/>
      <c r="C222" s="94"/>
      <c r="D222" s="94"/>
      <c r="E222" s="282"/>
      <c r="F222" s="282"/>
      <c r="G222" s="94"/>
      <c r="H222" s="94"/>
      <c r="I222" s="94"/>
      <c r="J222" s="94"/>
      <c r="K222" s="94"/>
      <c r="L222" s="94"/>
    </row>
    <row r="223" spans="1:12" ht="13.5" customHeight="1">
      <c r="A223" s="94"/>
      <c r="B223" s="94"/>
      <c r="C223" s="94"/>
      <c r="D223" s="94"/>
      <c r="E223" s="282"/>
      <c r="F223" s="282"/>
      <c r="G223" s="94"/>
      <c r="H223" s="94"/>
      <c r="I223" s="94"/>
      <c r="J223" s="94"/>
      <c r="K223" s="94"/>
      <c r="L223" s="94"/>
    </row>
    <row r="224" spans="1:12" ht="13.5" customHeight="1">
      <c r="A224" s="94"/>
      <c r="B224" s="94"/>
      <c r="C224" s="94"/>
      <c r="D224" s="94"/>
      <c r="E224" s="282"/>
      <c r="F224" s="282"/>
      <c r="G224" s="94"/>
      <c r="H224" s="94"/>
      <c r="I224" s="94"/>
      <c r="J224" s="94"/>
      <c r="K224" s="94"/>
      <c r="L224" s="94"/>
    </row>
    <row r="225" spans="1:12" ht="13.5" customHeight="1">
      <c r="A225" s="94"/>
      <c r="B225" s="94"/>
      <c r="C225" s="94"/>
      <c r="D225" s="94"/>
      <c r="E225" s="282"/>
      <c r="F225" s="282"/>
      <c r="G225" s="94"/>
      <c r="H225" s="94"/>
      <c r="I225" s="94"/>
      <c r="J225" s="94"/>
      <c r="K225" s="94"/>
      <c r="L225" s="94"/>
    </row>
    <row r="226" spans="1:12" ht="13.5" customHeight="1">
      <c r="A226" s="94"/>
      <c r="B226" s="94"/>
      <c r="C226" s="94"/>
      <c r="D226" s="94"/>
      <c r="E226" s="282"/>
      <c r="F226" s="282"/>
      <c r="G226" s="94"/>
      <c r="H226" s="94"/>
      <c r="I226" s="94"/>
      <c r="J226" s="94"/>
      <c r="K226" s="94"/>
      <c r="L226" s="94"/>
    </row>
    <row r="227" spans="1:12" ht="13.5" customHeight="1">
      <c r="A227" s="94"/>
      <c r="B227" s="94"/>
      <c r="C227" s="94"/>
      <c r="D227" s="94"/>
      <c r="E227" s="282"/>
      <c r="F227" s="282"/>
      <c r="G227" s="94"/>
      <c r="H227" s="94"/>
      <c r="I227" s="94"/>
      <c r="J227" s="94"/>
      <c r="K227" s="94"/>
      <c r="L227" s="94"/>
    </row>
    <row r="228" spans="1:12" ht="13.5" customHeight="1">
      <c r="A228" s="94"/>
      <c r="B228" s="94"/>
      <c r="C228" s="94"/>
      <c r="D228" s="94"/>
      <c r="E228" s="282"/>
      <c r="F228" s="282"/>
      <c r="G228" s="94"/>
      <c r="H228" s="94"/>
      <c r="I228" s="94"/>
      <c r="J228" s="94"/>
      <c r="K228" s="94"/>
      <c r="L228" s="94"/>
    </row>
    <row r="229" spans="1:12" ht="13.5" customHeight="1">
      <c r="A229" s="94"/>
      <c r="B229" s="94"/>
      <c r="C229" s="94"/>
      <c r="D229" s="94"/>
      <c r="E229" s="282"/>
      <c r="F229" s="282"/>
      <c r="G229" s="94"/>
      <c r="H229" s="94"/>
      <c r="I229" s="94"/>
      <c r="J229" s="94"/>
      <c r="K229" s="94"/>
      <c r="L229" s="94"/>
    </row>
    <row r="230" spans="1:12" ht="13.5" customHeight="1">
      <c r="A230" s="94"/>
      <c r="B230" s="94"/>
      <c r="C230" s="94"/>
      <c r="D230" s="94"/>
      <c r="E230" s="282"/>
      <c r="F230" s="282"/>
      <c r="G230" s="94"/>
      <c r="H230" s="94"/>
      <c r="I230" s="94"/>
      <c r="J230" s="94"/>
      <c r="K230" s="94"/>
      <c r="L230" s="94"/>
    </row>
    <row r="231" spans="1:12" ht="13.5" customHeight="1">
      <c r="A231" s="94"/>
      <c r="B231" s="94"/>
      <c r="C231" s="94"/>
      <c r="D231" s="94"/>
      <c r="E231" s="282"/>
      <c r="F231" s="282"/>
      <c r="G231" s="94"/>
      <c r="H231" s="94"/>
      <c r="I231" s="94"/>
      <c r="J231" s="94"/>
      <c r="K231" s="94"/>
      <c r="L231" s="94"/>
    </row>
    <row r="232" spans="1:12" ht="13.5" customHeight="1">
      <c r="A232" s="94"/>
      <c r="B232" s="94"/>
      <c r="C232" s="94"/>
      <c r="D232" s="94"/>
      <c r="E232" s="282"/>
      <c r="F232" s="282"/>
      <c r="G232" s="94"/>
      <c r="H232" s="94"/>
      <c r="I232" s="94"/>
      <c r="J232" s="94"/>
      <c r="K232" s="94"/>
      <c r="L232" s="94"/>
    </row>
    <row r="233" spans="1:12" ht="13.5" customHeight="1">
      <c r="A233" s="94"/>
      <c r="B233" s="94"/>
      <c r="C233" s="94"/>
      <c r="D233" s="94"/>
      <c r="E233" s="282"/>
      <c r="F233" s="282"/>
      <c r="G233" s="94"/>
      <c r="H233" s="94"/>
      <c r="I233" s="94"/>
      <c r="J233" s="94"/>
      <c r="K233" s="94"/>
      <c r="L233" s="94"/>
    </row>
    <row r="234" spans="1:12" ht="13.5" customHeight="1">
      <c r="A234" s="94"/>
      <c r="B234" s="94"/>
      <c r="C234" s="94"/>
      <c r="D234" s="94"/>
      <c r="E234" s="282"/>
      <c r="F234" s="282"/>
      <c r="G234" s="94"/>
      <c r="H234" s="94"/>
      <c r="I234" s="94"/>
      <c r="J234" s="94"/>
      <c r="K234" s="94"/>
      <c r="L234" s="94"/>
    </row>
    <row r="235" spans="1:12" ht="13.5" customHeight="1">
      <c r="A235" s="94"/>
      <c r="B235" s="94"/>
      <c r="C235" s="94"/>
      <c r="D235" s="94"/>
      <c r="E235" s="282"/>
      <c r="F235" s="282"/>
      <c r="G235" s="94"/>
      <c r="H235" s="94"/>
      <c r="I235" s="94"/>
      <c r="J235" s="94"/>
      <c r="K235" s="94"/>
      <c r="L235" s="94"/>
    </row>
    <row r="236" spans="1:12" ht="13.5" customHeight="1">
      <c r="A236" s="94"/>
      <c r="B236" s="94"/>
      <c r="C236" s="94"/>
      <c r="D236" s="94"/>
      <c r="E236" s="282"/>
      <c r="F236" s="282"/>
      <c r="G236" s="94"/>
      <c r="H236" s="94"/>
      <c r="I236" s="94"/>
      <c r="J236" s="94"/>
      <c r="K236" s="94"/>
      <c r="L236" s="94"/>
    </row>
    <row r="237" spans="1:12" ht="13.5" customHeight="1">
      <c r="A237" s="94"/>
      <c r="B237" s="94"/>
      <c r="C237" s="94"/>
      <c r="D237" s="94"/>
      <c r="E237" s="282"/>
      <c r="F237" s="282"/>
      <c r="G237" s="94"/>
      <c r="H237" s="94"/>
      <c r="I237" s="94"/>
      <c r="J237" s="94"/>
      <c r="K237" s="94"/>
      <c r="L237" s="94"/>
    </row>
    <row r="238" spans="1:12" ht="13.5" customHeight="1">
      <c r="A238" s="94"/>
      <c r="B238" s="94"/>
      <c r="C238" s="94"/>
      <c r="D238" s="94"/>
      <c r="E238" s="282"/>
      <c r="F238" s="282"/>
      <c r="G238" s="94"/>
      <c r="H238" s="94"/>
      <c r="I238" s="94"/>
      <c r="J238" s="94"/>
      <c r="K238" s="94"/>
      <c r="L238" s="94"/>
    </row>
    <row r="239" spans="1:12" ht="13.5" customHeight="1">
      <c r="A239" s="94"/>
      <c r="B239" s="94"/>
      <c r="C239" s="94"/>
      <c r="D239" s="94"/>
      <c r="E239" s="282"/>
      <c r="F239" s="282"/>
      <c r="G239" s="94"/>
      <c r="H239" s="94"/>
      <c r="I239" s="94"/>
      <c r="J239" s="94"/>
      <c r="K239" s="94"/>
      <c r="L239" s="94"/>
    </row>
    <row r="240" spans="1:12" ht="13.5" customHeight="1">
      <c r="A240" s="94"/>
      <c r="B240" s="94"/>
      <c r="C240" s="94"/>
      <c r="D240" s="94"/>
      <c r="E240" s="282"/>
      <c r="F240" s="282"/>
      <c r="G240" s="94"/>
      <c r="H240" s="94"/>
      <c r="I240" s="94"/>
      <c r="J240" s="94"/>
      <c r="K240" s="94"/>
      <c r="L240" s="94"/>
    </row>
    <row r="241" spans="1:12" ht="13.5" customHeight="1">
      <c r="A241" s="94"/>
      <c r="B241" s="94"/>
      <c r="C241" s="94"/>
      <c r="D241" s="94"/>
      <c r="E241" s="282"/>
      <c r="F241" s="282"/>
      <c r="G241" s="94"/>
      <c r="H241" s="94"/>
      <c r="I241" s="94"/>
      <c r="J241" s="94"/>
      <c r="K241" s="94"/>
      <c r="L241" s="94"/>
    </row>
    <row r="242" spans="1:12" ht="13.5" customHeight="1">
      <c r="A242" s="94"/>
      <c r="B242" s="94"/>
      <c r="C242" s="94"/>
      <c r="D242" s="94"/>
      <c r="E242" s="282"/>
      <c r="F242" s="282"/>
      <c r="G242" s="94"/>
      <c r="H242" s="94"/>
      <c r="I242" s="94"/>
      <c r="J242" s="94"/>
      <c r="K242" s="94"/>
      <c r="L242" s="94"/>
    </row>
    <row r="243" spans="1:12" ht="13.5" customHeight="1">
      <c r="A243" s="94"/>
      <c r="B243" s="94"/>
      <c r="C243" s="94"/>
      <c r="D243" s="94"/>
      <c r="E243" s="282"/>
      <c r="F243" s="282"/>
      <c r="G243" s="94"/>
      <c r="H243" s="94"/>
      <c r="I243" s="94"/>
      <c r="J243" s="94"/>
      <c r="K243" s="94"/>
      <c r="L243" s="94"/>
    </row>
    <row r="244" spans="1:12" ht="13.5" customHeight="1">
      <c r="A244" s="94"/>
      <c r="B244" s="94"/>
      <c r="C244" s="94"/>
      <c r="D244" s="94"/>
      <c r="E244" s="282"/>
      <c r="F244" s="282"/>
      <c r="G244" s="94"/>
      <c r="H244" s="94"/>
      <c r="I244" s="94"/>
      <c r="J244" s="94"/>
      <c r="K244" s="94"/>
      <c r="L244" s="94"/>
    </row>
    <row r="245" spans="1:12" ht="13.5" customHeight="1">
      <c r="A245" s="94"/>
      <c r="B245" s="94"/>
      <c r="C245" s="94"/>
      <c r="D245" s="94"/>
      <c r="E245" s="282"/>
      <c r="F245" s="282"/>
      <c r="G245" s="94"/>
      <c r="H245" s="94"/>
      <c r="I245" s="94"/>
      <c r="J245" s="94"/>
      <c r="K245" s="94"/>
      <c r="L245" s="94"/>
    </row>
    <row r="246" spans="1:12" ht="13.5" customHeight="1">
      <c r="A246" s="94"/>
      <c r="B246" s="94"/>
      <c r="C246" s="94"/>
      <c r="D246" s="94"/>
      <c r="E246" s="282"/>
      <c r="F246" s="282"/>
      <c r="G246" s="94"/>
      <c r="H246" s="94"/>
      <c r="I246" s="94"/>
      <c r="J246" s="94"/>
      <c r="K246" s="94"/>
      <c r="L246" s="94"/>
    </row>
    <row r="247" spans="1:12" ht="13.5" customHeight="1">
      <c r="A247" s="94"/>
      <c r="B247" s="94"/>
      <c r="C247" s="94"/>
      <c r="D247" s="94"/>
      <c r="E247" s="282"/>
      <c r="F247" s="282"/>
      <c r="G247" s="94"/>
      <c r="H247" s="94"/>
      <c r="I247" s="94"/>
      <c r="J247" s="94"/>
      <c r="K247" s="94"/>
      <c r="L247" s="94"/>
    </row>
    <row r="248" spans="1:12" ht="13.5" customHeight="1">
      <c r="A248" s="94"/>
      <c r="B248" s="94"/>
      <c r="C248" s="94"/>
      <c r="D248" s="94"/>
      <c r="E248" s="282"/>
      <c r="F248" s="282"/>
      <c r="G248" s="94"/>
      <c r="H248" s="94"/>
      <c r="I248" s="94"/>
      <c r="J248" s="94"/>
      <c r="K248" s="94"/>
      <c r="L248" s="94"/>
    </row>
    <row r="249" spans="1:12" ht="13.5" customHeight="1">
      <c r="A249" s="94"/>
      <c r="B249" s="94"/>
      <c r="C249" s="94"/>
      <c r="D249" s="94"/>
      <c r="E249" s="282"/>
      <c r="F249" s="282"/>
      <c r="G249" s="94"/>
      <c r="H249" s="94"/>
      <c r="I249" s="94"/>
      <c r="J249" s="94"/>
      <c r="K249" s="94"/>
      <c r="L249" s="94"/>
    </row>
    <row r="250" spans="1:12" ht="13.5" customHeight="1">
      <c r="A250" s="94"/>
      <c r="B250" s="94"/>
      <c r="C250" s="94"/>
      <c r="D250" s="94"/>
      <c r="E250" s="282"/>
      <c r="F250" s="282"/>
      <c r="G250" s="94"/>
      <c r="H250" s="94"/>
      <c r="I250" s="94"/>
      <c r="J250" s="94"/>
      <c r="K250" s="94"/>
      <c r="L250" s="94"/>
    </row>
    <row r="251" spans="1:12" ht="13.5" customHeight="1">
      <c r="A251" s="94"/>
      <c r="B251" s="94"/>
      <c r="C251" s="94"/>
      <c r="D251" s="94"/>
      <c r="E251" s="282"/>
      <c r="F251" s="282"/>
      <c r="G251" s="94"/>
      <c r="H251" s="94"/>
      <c r="I251" s="94"/>
      <c r="J251" s="94"/>
      <c r="K251" s="94"/>
      <c r="L251" s="94"/>
    </row>
    <row r="252" spans="1:12" ht="13.5" customHeight="1">
      <c r="A252" s="94"/>
      <c r="B252" s="94"/>
      <c r="C252" s="94"/>
      <c r="D252" s="94"/>
      <c r="E252" s="282"/>
      <c r="F252" s="282"/>
      <c r="G252" s="94"/>
      <c r="H252" s="94"/>
      <c r="I252" s="94"/>
      <c r="J252" s="94"/>
      <c r="K252" s="94"/>
      <c r="L252" s="94"/>
    </row>
    <row r="253" spans="1:12" ht="13.5" customHeight="1">
      <c r="A253" s="94"/>
      <c r="B253" s="94"/>
      <c r="C253" s="94"/>
      <c r="D253" s="94"/>
      <c r="E253" s="282"/>
      <c r="F253" s="282"/>
      <c r="G253" s="94"/>
      <c r="H253" s="94"/>
      <c r="I253" s="94"/>
      <c r="J253" s="94"/>
      <c r="K253" s="94"/>
      <c r="L253" s="94"/>
    </row>
    <row r="254" spans="1:12" ht="13.5" customHeight="1">
      <c r="A254" s="94"/>
      <c r="B254" s="94"/>
      <c r="C254" s="94"/>
      <c r="D254" s="94"/>
      <c r="E254" s="282"/>
      <c r="F254" s="282"/>
      <c r="G254" s="94"/>
      <c r="H254" s="94"/>
      <c r="I254" s="94"/>
      <c r="J254" s="94"/>
      <c r="K254" s="94"/>
      <c r="L254" s="94"/>
    </row>
    <row r="255" spans="1:12" ht="13.5" customHeight="1">
      <c r="A255" s="94"/>
      <c r="B255" s="94"/>
      <c r="C255" s="94"/>
      <c r="D255" s="94"/>
      <c r="E255" s="282"/>
      <c r="F255" s="282"/>
      <c r="G255" s="94"/>
      <c r="H255" s="94"/>
      <c r="I255" s="94"/>
      <c r="J255" s="94"/>
      <c r="K255" s="94"/>
      <c r="L255" s="94"/>
    </row>
    <row r="256" spans="1:12" ht="13.5" customHeight="1">
      <c r="A256" s="94"/>
      <c r="B256" s="94"/>
      <c r="C256" s="94"/>
      <c r="D256" s="94"/>
      <c r="E256" s="282"/>
      <c r="F256" s="282"/>
      <c r="G256" s="94"/>
      <c r="H256" s="94"/>
      <c r="I256" s="94"/>
      <c r="J256" s="94"/>
      <c r="K256" s="94"/>
      <c r="L256" s="94"/>
    </row>
    <row r="257" spans="1:12" ht="13.5" customHeight="1">
      <c r="A257" s="94"/>
      <c r="B257" s="94"/>
      <c r="C257" s="94"/>
      <c r="D257" s="94"/>
      <c r="E257" s="282"/>
      <c r="F257" s="282"/>
      <c r="G257" s="94"/>
      <c r="H257" s="94"/>
      <c r="I257" s="94"/>
      <c r="J257" s="94"/>
      <c r="K257" s="94"/>
      <c r="L257" s="94"/>
    </row>
    <row r="258" spans="1:12" ht="13.5" customHeight="1">
      <c r="A258" s="94"/>
      <c r="B258" s="94"/>
      <c r="C258" s="94"/>
      <c r="D258" s="94"/>
      <c r="E258" s="282"/>
      <c r="F258" s="282"/>
      <c r="G258" s="94"/>
      <c r="H258" s="94"/>
      <c r="I258" s="94"/>
      <c r="J258" s="94"/>
      <c r="K258" s="94"/>
      <c r="L258" s="94"/>
    </row>
    <row r="259" spans="1:12" ht="13.5" customHeight="1">
      <c r="A259" s="94"/>
      <c r="B259" s="94"/>
      <c r="C259" s="94"/>
      <c r="D259" s="94"/>
      <c r="E259" s="282"/>
      <c r="F259" s="282"/>
      <c r="G259" s="94"/>
      <c r="H259" s="94"/>
      <c r="I259" s="94"/>
      <c r="J259" s="94"/>
      <c r="K259" s="94"/>
      <c r="L259" s="94"/>
    </row>
    <row r="260" spans="1:12" ht="13.5" customHeight="1">
      <c r="A260" s="94"/>
      <c r="B260" s="94"/>
      <c r="C260" s="94"/>
      <c r="D260" s="94"/>
      <c r="E260" s="282"/>
      <c r="F260" s="282"/>
      <c r="G260" s="94"/>
      <c r="H260" s="94"/>
      <c r="I260" s="94"/>
      <c r="J260" s="94"/>
      <c r="K260" s="94"/>
      <c r="L260" s="94"/>
    </row>
    <row r="261" spans="1:12" ht="13.5" customHeight="1">
      <c r="A261" s="94"/>
      <c r="B261" s="94"/>
      <c r="C261" s="94"/>
      <c r="D261" s="94"/>
      <c r="E261" s="282"/>
      <c r="F261" s="282"/>
      <c r="G261" s="94"/>
      <c r="H261" s="94"/>
      <c r="I261" s="94"/>
      <c r="J261" s="94"/>
      <c r="K261" s="94"/>
      <c r="L261" s="94"/>
    </row>
    <row r="262" spans="1:12" ht="13.5" customHeight="1">
      <c r="A262" s="94"/>
      <c r="B262" s="94"/>
      <c r="C262" s="94"/>
      <c r="D262" s="94"/>
      <c r="E262" s="282"/>
      <c r="F262" s="282"/>
      <c r="G262" s="94"/>
      <c r="H262" s="94"/>
      <c r="I262" s="94"/>
      <c r="J262" s="94"/>
      <c r="K262" s="94"/>
      <c r="L262" s="94"/>
    </row>
    <row r="263" spans="1:12" ht="13.5" customHeight="1">
      <c r="A263" s="94"/>
      <c r="B263" s="94"/>
      <c r="C263" s="94"/>
      <c r="D263" s="94"/>
      <c r="E263" s="282"/>
      <c r="F263" s="282"/>
      <c r="G263" s="94"/>
      <c r="H263" s="94"/>
      <c r="I263" s="94"/>
      <c r="J263" s="94"/>
      <c r="K263" s="94"/>
      <c r="L263" s="94"/>
    </row>
    <row r="264" spans="1:12" ht="13.5" customHeight="1">
      <c r="A264" s="94"/>
      <c r="B264" s="94"/>
      <c r="C264" s="94"/>
      <c r="D264" s="94"/>
      <c r="E264" s="282"/>
      <c r="F264" s="282"/>
      <c r="G264" s="94"/>
      <c r="H264" s="94"/>
      <c r="I264" s="94"/>
      <c r="J264" s="94"/>
      <c r="K264" s="94"/>
      <c r="L264" s="94"/>
    </row>
    <row r="265" spans="1:12" ht="13.5" customHeight="1">
      <c r="A265" s="94"/>
      <c r="B265" s="94"/>
      <c r="C265" s="94"/>
      <c r="D265" s="94"/>
      <c r="E265" s="282"/>
      <c r="F265" s="282"/>
      <c r="G265" s="94"/>
      <c r="H265" s="94"/>
      <c r="I265" s="94"/>
      <c r="J265" s="94"/>
      <c r="K265" s="94"/>
      <c r="L265" s="94"/>
    </row>
    <row r="266" spans="1:12" ht="13.5" customHeight="1">
      <c r="A266" s="94"/>
      <c r="B266" s="94"/>
      <c r="C266" s="94"/>
      <c r="D266" s="94"/>
      <c r="E266" s="282"/>
      <c r="F266" s="282"/>
      <c r="G266" s="94"/>
      <c r="H266" s="94"/>
      <c r="I266" s="94"/>
      <c r="J266" s="94"/>
      <c r="K266" s="94"/>
      <c r="L266" s="94"/>
    </row>
    <row r="267" spans="1:12" ht="13.5" customHeight="1">
      <c r="A267" s="94"/>
      <c r="B267" s="94"/>
      <c r="C267" s="94"/>
      <c r="D267" s="94"/>
      <c r="E267" s="282"/>
      <c r="F267" s="282"/>
      <c r="G267" s="94"/>
      <c r="H267" s="94"/>
      <c r="I267" s="94"/>
      <c r="J267" s="94"/>
      <c r="K267" s="94"/>
      <c r="L267" s="94"/>
    </row>
    <row r="268" spans="1:12" ht="13.5" customHeight="1">
      <c r="A268" s="94"/>
      <c r="B268" s="94"/>
      <c r="C268" s="94"/>
      <c r="D268" s="94"/>
      <c r="E268" s="282"/>
      <c r="F268" s="282"/>
      <c r="G268" s="94"/>
      <c r="H268" s="94"/>
      <c r="I268" s="94"/>
      <c r="J268" s="94"/>
      <c r="K268" s="94"/>
      <c r="L268" s="94"/>
    </row>
    <row r="269" spans="1:12" ht="13.5" customHeight="1">
      <c r="A269" s="94"/>
      <c r="B269" s="94"/>
      <c r="C269" s="94"/>
      <c r="D269" s="94"/>
      <c r="E269" s="282"/>
      <c r="F269" s="282"/>
      <c r="G269" s="94"/>
      <c r="H269" s="94"/>
      <c r="I269" s="94"/>
      <c r="J269" s="94"/>
      <c r="K269" s="94"/>
      <c r="L269" s="94"/>
    </row>
    <row r="270" spans="1:12" ht="13.5" customHeight="1">
      <c r="A270" s="94"/>
      <c r="B270" s="94"/>
      <c r="C270" s="94"/>
      <c r="D270" s="94"/>
      <c r="E270" s="282"/>
      <c r="F270" s="282"/>
      <c r="G270" s="94"/>
      <c r="H270" s="94"/>
      <c r="I270" s="94"/>
      <c r="J270" s="94"/>
      <c r="K270" s="94"/>
      <c r="L270" s="94"/>
    </row>
    <row r="271" spans="1:12" ht="13.5" customHeight="1">
      <c r="A271" s="94"/>
      <c r="B271" s="94"/>
      <c r="C271" s="94"/>
      <c r="D271" s="94"/>
      <c r="E271" s="282"/>
      <c r="F271" s="282"/>
      <c r="G271" s="94"/>
      <c r="H271" s="94"/>
      <c r="I271" s="94"/>
      <c r="J271" s="94"/>
      <c r="K271" s="94"/>
      <c r="L271" s="94"/>
    </row>
    <row r="272" spans="1:12" ht="13.5" customHeight="1">
      <c r="A272" s="94"/>
      <c r="B272" s="94"/>
      <c r="C272" s="94"/>
      <c r="D272" s="94"/>
      <c r="E272" s="282"/>
      <c r="F272" s="282"/>
      <c r="G272" s="94"/>
      <c r="H272" s="94"/>
      <c r="I272" s="94"/>
      <c r="J272" s="94"/>
      <c r="K272" s="94"/>
      <c r="L272" s="94"/>
    </row>
    <row r="273" spans="1:12" ht="13.5" customHeight="1">
      <c r="A273" s="94"/>
      <c r="B273" s="94"/>
      <c r="C273" s="94"/>
      <c r="D273" s="94"/>
      <c r="E273" s="282"/>
      <c r="F273" s="282"/>
      <c r="G273" s="94"/>
      <c r="H273" s="94"/>
      <c r="I273" s="94"/>
      <c r="J273" s="94"/>
      <c r="K273" s="94"/>
      <c r="L273" s="94"/>
    </row>
    <row r="274" spans="1:12" ht="13.5" customHeight="1">
      <c r="A274" s="94"/>
      <c r="B274" s="94"/>
      <c r="C274" s="94"/>
      <c r="D274" s="94"/>
      <c r="E274" s="282"/>
      <c r="F274" s="282"/>
      <c r="G274" s="94"/>
      <c r="H274" s="94"/>
      <c r="I274" s="94"/>
      <c r="J274" s="94"/>
      <c r="K274" s="94"/>
      <c r="L274" s="94"/>
    </row>
    <row r="275" spans="1:12" ht="13.5" customHeight="1">
      <c r="A275" s="94"/>
      <c r="B275" s="94"/>
      <c r="C275" s="94"/>
      <c r="D275" s="94"/>
      <c r="E275" s="282"/>
      <c r="F275" s="282"/>
      <c r="G275" s="94"/>
      <c r="H275" s="94"/>
      <c r="I275" s="94"/>
      <c r="J275" s="94"/>
      <c r="K275" s="94"/>
      <c r="L275" s="94"/>
    </row>
    <row r="276" spans="1:12" ht="13.5" customHeight="1">
      <c r="A276" s="94"/>
      <c r="B276" s="94"/>
      <c r="C276" s="94"/>
      <c r="D276" s="94"/>
      <c r="E276" s="282"/>
      <c r="F276" s="282"/>
      <c r="G276" s="94"/>
      <c r="H276" s="94"/>
      <c r="I276" s="94"/>
      <c r="J276" s="94"/>
      <c r="K276" s="94"/>
      <c r="L276" s="94"/>
    </row>
    <row r="277" spans="1:12" ht="13.5" customHeight="1">
      <c r="A277" s="94"/>
      <c r="B277" s="94"/>
      <c r="C277" s="94"/>
      <c r="D277" s="94"/>
      <c r="E277" s="282"/>
      <c r="F277" s="282"/>
      <c r="G277" s="94"/>
      <c r="H277" s="94"/>
      <c r="I277" s="94"/>
      <c r="J277" s="94"/>
      <c r="K277" s="94"/>
      <c r="L277" s="94"/>
    </row>
    <row r="278" spans="1:12" ht="13.5" customHeight="1">
      <c r="A278" s="94"/>
      <c r="B278" s="94"/>
      <c r="C278" s="94"/>
      <c r="D278" s="94"/>
      <c r="E278" s="282"/>
      <c r="F278" s="282"/>
      <c r="G278" s="94"/>
      <c r="H278" s="94"/>
      <c r="I278" s="94"/>
      <c r="J278" s="94"/>
      <c r="K278" s="94"/>
      <c r="L278" s="94"/>
    </row>
    <row r="279" spans="1:12" ht="13.5" customHeight="1">
      <c r="A279" s="94"/>
      <c r="B279" s="94"/>
      <c r="C279" s="94"/>
      <c r="D279" s="94"/>
      <c r="E279" s="282"/>
      <c r="F279" s="282"/>
      <c r="G279" s="94"/>
      <c r="H279" s="94"/>
      <c r="I279" s="94"/>
      <c r="J279" s="94"/>
      <c r="K279" s="94"/>
      <c r="L279" s="94"/>
    </row>
    <row r="280" spans="1:12" ht="13.5" customHeight="1">
      <c r="A280" s="94"/>
      <c r="B280" s="94"/>
      <c r="C280" s="94"/>
      <c r="D280" s="94"/>
      <c r="E280" s="282"/>
      <c r="F280" s="282"/>
      <c r="G280" s="94"/>
      <c r="H280" s="94"/>
      <c r="I280" s="94"/>
      <c r="J280" s="94"/>
      <c r="K280" s="94"/>
      <c r="L280" s="94"/>
    </row>
    <row r="281" spans="1:12" ht="13.5" customHeight="1">
      <c r="A281" s="94"/>
      <c r="B281" s="94"/>
      <c r="C281" s="94"/>
      <c r="D281" s="94"/>
      <c r="E281" s="282"/>
      <c r="F281" s="282"/>
      <c r="G281" s="94"/>
      <c r="H281" s="94"/>
      <c r="I281" s="94"/>
      <c r="J281" s="94"/>
      <c r="K281" s="94"/>
      <c r="L281" s="94"/>
    </row>
    <row r="282" spans="1:12" ht="13.5" customHeight="1">
      <c r="A282" s="94"/>
      <c r="B282" s="94"/>
      <c r="C282" s="94"/>
      <c r="D282" s="94"/>
      <c r="E282" s="282"/>
      <c r="F282" s="282"/>
      <c r="G282" s="94"/>
      <c r="H282" s="94"/>
      <c r="I282" s="94"/>
      <c r="J282" s="94"/>
      <c r="K282" s="94"/>
      <c r="L282" s="94"/>
    </row>
    <row r="283" spans="1:12" ht="13.5" customHeight="1">
      <c r="A283" s="94"/>
      <c r="B283" s="94"/>
      <c r="C283" s="94"/>
      <c r="D283" s="94"/>
      <c r="E283" s="282"/>
      <c r="F283" s="282"/>
      <c r="G283" s="94"/>
      <c r="H283" s="94"/>
      <c r="I283" s="94"/>
      <c r="J283" s="94"/>
      <c r="K283" s="94"/>
      <c r="L283" s="94"/>
    </row>
    <row r="284" spans="1:12" ht="13.5" customHeight="1">
      <c r="A284" s="94"/>
      <c r="B284" s="94"/>
      <c r="C284" s="94"/>
      <c r="D284" s="94"/>
      <c r="E284" s="282"/>
      <c r="F284" s="282"/>
      <c r="G284" s="94"/>
      <c r="H284" s="94"/>
      <c r="I284" s="94"/>
      <c r="J284" s="94"/>
      <c r="K284" s="94"/>
      <c r="L284" s="94"/>
    </row>
    <row r="285" spans="1:12" ht="13.5" customHeight="1">
      <c r="A285" s="94"/>
      <c r="B285" s="94"/>
      <c r="C285" s="94"/>
      <c r="D285" s="94"/>
      <c r="E285" s="282"/>
      <c r="F285" s="282"/>
      <c r="G285" s="94"/>
      <c r="H285" s="94"/>
      <c r="I285" s="94"/>
      <c r="J285" s="94"/>
      <c r="K285" s="94"/>
      <c r="L285" s="94"/>
    </row>
    <row r="286" spans="1:12" ht="13.5" customHeight="1">
      <c r="A286" s="94"/>
      <c r="B286" s="94"/>
      <c r="C286" s="94"/>
      <c r="D286" s="94"/>
      <c r="E286" s="282"/>
      <c r="F286" s="282"/>
      <c r="G286" s="94"/>
      <c r="H286" s="94"/>
      <c r="I286" s="94"/>
      <c r="J286" s="94"/>
      <c r="K286" s="94"/>
      <c r="L286" s="94"/>
    </row>
    <row r="287" spans="1:12" ht="13.5" customHeight="1">
      <c r="A287" s="94"/>
      <c r="B287" s="94"/>
      <c r="C287" s="94"/>
      <c r="D287" s="94"/>
      <c r="E287" s="282"/>
      <c r="F287" s="282"/>
      <c r="G287" s="94"/>
      <c r="H287" s="94"/>
      <c r="I287" s="94"/>
      <c r="J287" s="94"/>
      <c r="K287" s="94"/>
      <c r="L287" s="94"/>
    </row>
    <row r="288" spans="1:12" ht="13.5" customHeight="1">
      <c r="A288" s="94"/>
      <c r="B288" s="94"/>
      <c r="C288" s="94"/>
      <c r="D288" s="94"/>
      <c r="E288" s="282"/>
      <c r="F288" s="282"/>
      <c r="G288" s="94"/>
      <c r="H288" s="94"/>
      <c r="I288" s="94"/>
      <c r="J288" s="94"/>
      <c r="K288" s="94"/>
      <c r="L288" s="94"/>
    </row>
    <row r="289" spans="1:12" ht="13.5" customHeight="1">
      <c r="A289" s="94"/>
      <c r="B289" s="94"/>
      <c r="C289" s="94"/>
      <c r="D289" s="94"/>
      <c r="E289" s="282"/>
      <c r="F289" s="282"/>
      <c r="G289" s="94"/>
      <c r="H289" s="94"/>
      <c r="I289" s="94"/>
      <c r="J289" s="94"/>
      <c r="K289" s="94"/>
      <c r="L289" s="94"/>
    </row>
    <row r="290" spans="1:12" ht="13.5" customHeight="1">
      <c r="A290" s="94"/>
      <c r="B290" s="94"/>
      <c r="C290" s="94"/>
      <c r="D290" s="94"/>
      <c r="E290" s="282"/>
      <c r="F290" s="282"/>
      <c r="G290" s="94"/>
      <c r="H290" s="94"/>
      <c r="I290" s="94"/>
      <c r="J290" s="94"/>
      <c r="K290" s="94"/>
      <c r="L290" s="94"/>
    </row>
    <row r="291" spans="1:12" ht="13.5" customHeight="1">
      <c r="A291" s="94"/>
      <c r="B291" s="94"/>
      <c r="C291" s="94"/>
      <c r="D291" s="94"/>
      <c r="E291" s="282"/>
      <c r="F291" s="282"/>
      <c r="G291" s="94"/>
      <c r="H291" s="94"/>
      <c r="I291" s="94"/>
      <c r="J291" s="94"/>
      <c r="K291" s="94"/>
      <c r="L291" s="94"/>
    </row>
    <row r="292" spans="1:12" ht="13.5" customHeight="1">
      <c r="A292" s="94"/>
      <c r="B292" s="94"/>
      <c r="C292" s="94"/>
      <c r="D292" s="94"/>
      <c r="E292" s="282"/>
      <c r="F292" s="282"/>
      <c r="G292" s="94"/>
      <c r="H292" s="94"/>
      <c r="I292" s="94"/>
      <c r="J292" s="94"/>
      <c r="K292" s="94"/>
      <c r="L292" s="94"/>
    </row>
    <row r="293" spans="1:12" ht="13.5" customHeight="1">
      <c r="A293" s="94"/>
      <c r="B293" s="94"/>
      <c r="C293" s="94"/>
      <c r="D293" s="94"/>
      <c r="E293" s="282"/>
      <c r="F293" s="282"/>
      <c r="G293" s="94"/>
      <c r="H293" s="94"/>
      <c r="I293" s="94"/>
      <c r="J293" s="94"/>
      <c r="K293" s="94"/>
      <c r="L293" s="94"/>
    </row>
    <row r="294" spans="1:12" ht="13.5" customHeight="1">
      <c r="A294" s="94"/>
      <c r="B294" s="94"/>
      <c r="C294" s="94"/>
      <c r="D294" s="94"/>
      <c r="E294" s="282"/>
      <c r="F294" s="282"/>
      <c r="G294" s="94"/>
      <c r="H294" s="94"/>
      <c r="I294" s="94"/>
      <c r="J294" s="94"/>
      <c r="K294" s="94"/>
      <c r="L294" s="94"/>
    </row>
    <row r="295" spans="1:12" ht="13.5" customHeight="1">
      <c r="A295" s="94"/>
      <c r="B295" s="94"/>
      <c r="C295" s="94"/>
      <c r="D295" s="94"/>
      <c r="E295" s="282"/>
      <c r="F295" s="282"/>
      <c r="G295" s="94"/>
      <c r="H295" s="94"/>
      <c r="I295" s="94"/>
      <c r="J295" s="94"/>
      <c r="K295" s="94"/>
      <c r="L295" s="94"/>
    </row>
    <row r="296" spans="1:12" ht="13.5" customHeight="1">
      <c r="A296" s="94"/>
      <c r="B296" s="94"/>
      <c r="C296" s="94"/>
      <c r="D296" s="94"/>
      <c r="E296" s="282"/>
      <c r="F296" s="282"/>
      <c r="G296" s="94"/>
      <c r="H296" s="94"/>
      <c r="I296" s="94"/>
      <c r="J296" s="94"/>
      <c r="K296" s="94"/>
      <c r="L296" s="94"/>
    </row>
    <row r="297" spans="1:12" ht="13.5" customHeight="1">
      <c r="A297" s="94"/>
      <c r="B297" s="94"/>
      <c r="C297" s="94"/>
      <c r="D297" s="94"/>
      <c r="E297" s="282"/>
      <c r="F297" s="282"/>
      <c r="G297" s="94"/>
      <c r="H297" s="94"/>
      <c r="I297" s="94"/>
      <c r="J297" s="94"/>
      <c r="K297" s="94"/>
      <c r="L297" s="94"/>
    </row>
    <row r="298" spans="1:12" ht="13.5" customHeight="1">
      <c r="A298" s="94"/>
      <c r="B298" s="94"/>
      <c r="C298" s="94"/>
      <c r="D298" s="94"/>
      <c r="E298" s="282"/>
      <c r="F298" s="282"/>
      <c r="G298" s="94"/>
      <c r="H298" s="94"/>
      <c r="I298" s="94"/>
      <c r="J298" s="94"/>
      <c r="K298" s="94"/>
      <c r="L298" s="94"/>
    </row>
    <row r="299" spans="1:12" ht="13.5" customHeight="1">
      <c r="A299" s="94"/>
      <c r="B299" s="94"/>
      <c r="C299" s="94"/>
      <c r="D299" s="94"/>
      <c r="E299" s="282"/>
      <c r="F299" s="282"/>
      <c r="G299" s="94"/>
      <c r="H299" s="94"/>
      <c r="I299" s="94"/>
      <c r="J299" s="94"/>
      <c r="K299" s="94"/>
      <c r="L299" s="94"/>
    </row>
    <row r="300" spans="1:12" ht="13.5" customHeight="1">
      <c r="A300" s="94"/>
      <c r="B300" s="94"/>
      <c r="C300" s="94"/>
      <c r="D300" s="94"/>
      <c r="E300" s="282"/>
      <c r="F300" s="282"/>
      <c r="G300" s="94"/>
      <c r="H300" s="94"/>
      <c r="I300" s="94"/>
      <c r="J300" s="94"/>
      <c r="K300" s="94"/>
      <c r="L300" s="94"/>
    </row>
    <row r="301" spans="1:12" ht="13.5" customHeight="1">
      <c r="A301" s="94"/>
      <c r="B301" s="94"/>
      <c r="C301" s="94"/>
      <c r="D301" s="94"/>
      <c r="E301" s="282"/>
      <c r="F301" s="282"/>
      <c r="G301" s="94"/>
      <c r="H301" s="94"/>
      <c r="I301" s="94"/>
      <c r="J301" s="94"/>
      <c r="K301" s="94"/>
      <c r="L301" s="94"/>
    </row>
    <row r="302" spans="1:12" ht="13.5" customHeight="1">
      <c r="A302" s="94"/>
      <c r="B302" s="94"/>
      <c r="C302" s="94"/>
      <c r="D302" s="94"/>
      <c r="E302" s="282"/>
      <c r="F302" s="282"/>
      <c r="G302" s="94"/>
      <c r="H302" s="94"/>
      <c r="I302" s="94"/>
      <c r="J302" s="94"/>
      <c r="K302" s="94"/>
      <c r="L302" s="94"/>
    </row>
    <row r="303" spans="1:12" ht="13.5" customHeight="1">
      <c r="A303" s="94"/>
      <c r="B303" s="94"/>
      <c r="C303" s="94"/>
      <c r="D303" s="94"/>
      <c r="E303" s="282"/>
      <c r="F303" s="282"/>
      <c r="G303" s="94"/>
      <c r="H303" s="94"/>
      <c r="I303" s="94"/>
      <c r="J303" s="94"/>
      <c r="K303" s="94"/>
      <c r="L303" s="94"/>
    </row>
    <row r="304" spans="1:12" ht="13.5" customHeight="1">
      <c r="A304" s="94"/>
      <c r="B304" s="94"/>
      <c r="C304" s="94"/>
      <c r="D304" s="94"/>
      <c r="E304" s="282"/>
      <c r="F304" s="282"/>
      <c r="G304" s="94"/>
      <c r="H304" s="94"/>
      <c r="I304" s="94"/>
      <c r="J304" s="94"/>
      <c r="K304" s="94"/>
      <c r="L304" s="94"/>
    </row>
    <row r="305" spans="1:12" ht="13.5" customHeight="1">
      <c r="A305" s="94"/>
      <c r="B305" s="94"/>
      <c r="C305" s="94"/>
      <c r="D305" s="94"/>
      <c r="E305" s="282"/>
      <c r="F305" s="282"/>
      <c r="G305" s="94"/>
      <c r="H305" s="94"/>
      <c r="I305" s="94"/>
      <c r="J305" s="94"/>
      <c r="K305" s="94"/>
      <c r="L305" s="94"/>
    </row>
    <row r="306" spans="1:12" ht="13.5" customHeight="1">
      <c r="A306" s="94"/>
      <c r="B306" s="94"/>
      <c r="C306" s="94"/>
      <c r="D306" s="94"/>
      <c r="E306" s="282"/>
      <c r="F306" s="282"/>
      <c r="G306" s="94"/>
      <c r="H306" s="94"/>
      <c r="I306" s="94"/>
      <c r="J306" s="94"/>
      <c r="K306" s="94"/>
      <c r="L306" s="94"/>
    </row>
    <row r="307" spans="1:12" ht="13.5" customHeight="1">
      <c r="A307" s="94"/>
      <c r="B307" s="94"/>
      <c r="C307" s="94"/>
      <c r="D307" s="94"/>
      <c r="E307" s="282"/>
      <c r="F307" s="282"/>
      <c r="G307" s="94"/>
      <c r="H307" s="94"/>
      <c r="I307" s="94"/>
      <c r="J307" s="94"/>
      <c r="K307" s="94"/>
      <c r="L307" s="94"/>
    </row>
    <row r="308" spans="1:12" ht="13.5" customHeight="1">
      <c r="A308" s="94"/>
      <c r="B308" s="94"/>
      <c r="C308" s="94"/>
      <c r="D308" s="94"/>
      <c r="E308" s="282"/>
      <c r="F308" s="282"/>
      <c r="G308" s="94"/>
      <c r="H308" s="94"/>
      <c r="I308" s="94"/>
      <c r="J308" s="94"/>
      <c r="K308" s="94"/>
      <c r="L308" s="94"/>
    </row>
    <row r="309" spans="1:12" ht="13.5" customHeight="1">
      <c r="A309" s="94"/>
      <c r="B309" s="94"/>
      <c r="C309" s="94"/>
      <c r="D309" s="94"/>
      <c r="E309" s="282"/>
      <c r="F309" s="282"/>
      <c r="G309" s="94"/>
      <c r="H309" s="94"/>
      <c r="I309" s="94"/>
      <c r="J309" s="94"/>
      <c r="K309" s="94"/>
      <c r="L309" s="94"/>
    </row>
    <row r="310" spans="1:12" ht="13.5" customHeight="1">
      <c r="A310" s="94"/>
      <c r="B310" s="94"/>
      <c r="C310" s="94"/>
      <c r="D310" s="94"/>
      <c r="E310" s="282"/>
      <c r="F310" s="282"/>
      <c r="G310" s="94"/>
      <c r="H310" s="94"/>
      <c r="I310" s="94"/>
      <c r="J310" s="94"/>
      <c r="K310" s="94"/>
      <c r="L310" s="94"/>
    </row>
    <row r="311" spans="1:12" ht="13.5" customHeight="1">
      <c r="A311" s="94"/>
      <c r="B311" s="94"/>
      <c r="C311" s="94"/>
      <c r="D311" s="94"/>
      <c r="E311" s="282"/>
      <c r="F311" s="282"/>
      <c r="G311" s="94"/>
      <c r="H311" s="94"/>
      <c r="I311" s="94"/>
      <c r="J311" s="94"/>
      <c r="K311" s="94"/>
      <c r="L311" s="94"/>
    </row>
    <row r="312" spans="1:12" ht="13.5" customHeight="1">
      <c r="A312" s="94"/>
      <c r="B312" s="94"/>
      <c r="C312" s="94"/>
      <c r="D312" s="94"/>
      <c r="E312" s="282"/>
      <c r="F312" s="282"/>
      <c r="G312" s="94"/>
      <c r="H312" s="94"/>
      <c r="I312" s="94"/>
      <c r="J312" s="94"/>
      <c r="K312" s="94"/>
      <c r="L312" s="94"/>
    </row>
    <row r="313" spans="1:12" ht="13.5" customHeight="1">
      <c r="A313" s="94"/>
      <c r="B313" s="94"/>
      <c r="C313" s="94"/>
      <c r="D313" s="94"/>
      <c r="E313" s="282"/>
      <c r="F313" s="282"/>
      <c r="G313" s="94"/>
      <c r="H313" s="94"/>
      <c r="I313" s="94"/>
      <c r="J313" s="94"/>
      <c r="K313" s="94"/>
      <c r="L313" s="94"/>
    </row>
    <row r="314" spans="1:12" ht="13.5" customHeight="1">
      <c r="A314" s="94"/>
      <c r="B314" s="94"/>
      <c r="C314" s="94"/>
      <c r="D314" s="94"/>
      <c r="E314" s="282"/>
      <c r="F314" s="282"/>
      <c r="G314" s="94"/>
      <c r="H314" s="94"/>
      <c r="I314" s="94"/>
      <c r="J314" s="94"/>
      <c r="K314" s="94"/>
      <c r="L314" s="94"/>
    </row>
    <row r="315" spans="1:12" ht="13.5" customHeight="1">
      <c r="A315" s="94"/>
      <c r="B315" s="94"/>
      <c r="C315" s="94"/>
      <c r="D315" s="94"/>
      <c r="E315" s="282"/>
      <c r="F315" s="282"/>
      <c r="G315" s="94"/>
      <c r="H315" s="94"/>
      <c r="I315" s="94"/>
      <c r="J315" s="94"/>
      <c r="K315" s="94"/>
      <c r="L315" s="94"/>
    </row>
    <row r="316" spans="1:12" ht="13.5" customHeight="1">
      <c r="A316" s="94"/>
      <c r="B316" s="94"/>
      <c r="C316" s="94"/>
      <c r="D316" s="94"/>
      <c r="E316" s="282"/>
      <c r="F316" s="282"/>
      <c r="G316" s="94"/>
      <c r="H316" s="94"/>
      <c r="I316" s="94"/>
      <c r="J316" s="94"/>
      <c r="K316" s="94"/>
      <c r="L316" s="94"/>
    </row>
    <row r="317" spans="1:12" ht="13.5" customHeight="1">
      <c r="A317" s="94"/>
      <c r="B317" s="94"/>
      <c r="C317" s="94"/>
      <c r="D317" s="94"/>
      <c r="E317" s="282"/>
      <c r="F317" s="282"/>
      <c r="G317" s="94"/>
      <c r="H317" s="94"/>
      <c r="I317" s="94"/>
      <c r="J317" s="94"/>
      <c r="K317" s="94"/>
      <c r="L317" s="94"/>
    </row>
    <row r="318" spans="1:12" ht="13.5" customHeight="1">
      <c r="A318" s="94"/>
      <c r="B318" s="94"/>
      <c r="C318" s="94"/>
      <c r="D318" s="94"/>
      <c r="E318" s="282"/>
      <c r="F318" s="282"/>
      <c r="G318" s="94"/>
      <c r="H318" s="94"/>
      <c r="I318" s="94"/>
      <c r="J318" s="94"/>
      <c r="K318" s="94"/>
      <c r="L318" s="94"/>
    </row>
    <row r="319" spans="1:12" ht="13.5" customHeight="1">
      <c r="A319" s="94"/>
      <c r="B319" s="94"/>
      <c r="C319" s="94"/>
      <c r="D319" s="94"/>
      <c r="E319" s="282"/>
      <c r="F319" s="282"/>
      <c r="G319" s="94"/>
      <c r="H319" s="94"/>
      <c r="I319" s="94"/>
      <c r="J319" s="94"/>
      <c r="K319" s="94"/>
      <c r="L319" s="94"/>
    </row>
    <row r="320" spans="1:12" ht="13.5" customHeight="1">
      <c r="A320" s="94"/>
      <c r="B320" s="94"/>
      <c r="C320" s="94"/>
      <c r="D320" s="94"/>
      <c r="E320" s="282"/>
      <c r="F320" s="282"/>
      <c r="G320" s="94"/>
      <c r="H320" s="94"/>
      <c r="I320" s="94"/>
      <c r="J320" s="94"/>
      <c r="K320" s="94"/>
      <c r="L320" s="94"/>
    </row>
    <row r="321" spans="1:12" ht="13.5" customHeight="1">
      <c r="A321" s="94"/>
      <c r="B321" s="94"/>
      <c r="C321" s="94"/>
      <c r="D321" s="94"/>
      <c r="E321" s="282"/>
      <c r="F321" s="282"/>
      <c r="G321" s="94"/>
      <c r="H321" s="94"/>
      <c r="I321" s="94"/>
      <c r="J321" s="94"/>
      <c r="K321" s="94"/>
      <c r="L321" s="94"/>
    </row>
    <row r="322" spans="1:12" ht="13.5" customHeight="1">
      <c r="A322" s="94"/>
      <c r="B322" s="94"/>
      <c r="C322" s="94"/>
      <c r="D322" s="94"/>
      <c r="E322" s="282"/>
      <c r="F322" s="282"/>
      <c r="G322" s="94"/>
      <c r="H322" s="94"/>
      <c r="I322" s="94"/>
      <c r="J322" s="94"/>
      <c r="K322" s="94"/>
      <c r="L322" s="94"/>
    </row>
    <row r="323" spans="1:12" ht="13.5" customHeight="1">
      <c r="A323" s="94"/>
      <c r="B323" s="94"/>
      <c r="C323" s="94"/>
      <c r="D323" s="94"/>
      <c r="E323" s="282"/>
      <c r="F323" s="282"/>
      <c r="G323" s="94"/>
      <c r="H323" s="94"/>
      <c r="I323" s="94"/>
      <c r="J323" s="94"/>
      <c r="K323" s="94"/>
      <c r="L323" s="94"/>
    </row>
    <row r="324" spans="1:12" ht="13.5" customHeight="1">
      <c r="A324" s="94"/>
      <c r="B324" s="94"/>
      <c r="C324" s="94"/>
      <c r="D324" s="94"/>
      <c r="E324" s="282"/>
      <c r="F324" s="282"/>
      <c r="G324" s="94"/>
      <c r="H324" s="94"/>
      <c r="I324" s="94"/>
      <c r="J324" s="94"/>
      <c r="K324" s="94"/>
      <c r="L324" s="94"/>
    </row>
    <row r="325" spans="1:12" ht="13.5" customHeight="1">
      <c r="A325" s="94"/>
      <c r="B325" s="94"/>
      <c r="C325" s="94"/>
      <c r="D325" s="94"/>
      <c r="E325" s="282"/>
      <c r="F325" s="282"/>
      <c r="G325" s="94"/>
      <c r="H325" s="94"/>
      <c r="I325" s="94"/>
      <c r="J325" s="94"/>
      <c r="K325" s="94"/>
      <c r="L325" s="94"/>
    </row>
    <row r="326" spans="1:12" ht="13.5" customHeight="1">
      <c r="A326" s="94"/>
      <c r="B326" s="94"/>
      <c r="C326" s="94"/>
      <c r="D326" s="94"/>
      <c r="E326" s="282"/>
      <c r="F326" s="282"/>
      <c r="G326" s="94"/>
      <c r="H326" s="94"/>
      <c r="I326" s="94"/>
      <c r="J326" s="94"/>
      <c r="K326" s="94"/>
      <c r="L326" s="94"/>
    </row>
    <row r="327" spans="1:12" ht="13.5" customHeight="1">
      <c r="A327" s="94"/>
      <c r="B327" s="94"/>
      <c r="C327" s="94"/>
      <c r="D327" s="94"/>
      <c r="E327" s="282"/>
      <c r="F327" s="282"/>
      <c r="G327" s="94"/>
      <c r="H327" s="94"/>
      <c r="I327" s="94"/>
      <c r="J327" s="94"/>
      <c r="K327" s="94"/>
      <c r="L327" s="94"/>
    </row>
    <row r="328" spans="1:12" ht="13.5" customHeight="1">
      <c r="A328" s="94"/>
      <c r="B328" s="94"/>
      <c r="C328" s="94"/>
      <c r="D328" s="94"/>
      <c r="E328" s="282"/>
      <c r="F328" s="282"/>
      <c r="G328" s="94"/>
      <c r="H328" s="94"/>
      <c r="I328" s="94"/>
      <c r="J328" s="94"/>
      <c r="K328" s="94"/>
      <c r="L328" s="94"/>
    </row>
    <row r="329" spans="1:12" ht="13.5" customHeight="1">
      <c r="A329" s="94"/>
      <c r="B329" s="94"/>
      <c r="C329" s="94"/>
      <c r="D329" s="94"/>
      <c r="E329" s="282"/>
      <c r="F329" s="282"/>
      <c r="G329" s="94"/>
      <c r="H329" s="94"/>
      <c r="I329" s="94"/>
      <c r="J329" s="94"/>
      <c r="K329" s="94"/>
      <c r="L329" s="94"/>
    </row>
    <row r="330" spans="1:12" ht="13.5" customHeight="1">
      <c r="A330" s="94"/>
      <c r="B330" s="94"/>
      <c r="C330" s="94"/>
      <c r="D330" s="94"/>
      <c r="E330" s="282"/>
      <c r="F330" s="282"/>
      <c r="G330" s="94"/>
      <c r="H330" s="94"/>
      <c r="I330" s="94"/>
      <c r="J330" s="94"/>
      <c r="K330" s="94"/>
      <c r="L330" s="94"/>
    </row>
    <row r="331" spans="1:12" ht="13.5" customHeight="1">
      <c r="A331" s="94"/>
      <c r="B331" s="94"/>
      <c r="C331" s="94"/>
      <c r="D331" s="94"/>
      <c r="E331" s="282"/>
      <c r="F331" s="282"/>
      <c r="G331" s="94"/>
      <c r="H331" s="94"/>
      <c r="I331" s="94"/>
      <c r="J331" s="94"/>
      <c r="K331" s="94"/>
      <c r="L331" s="94"/>
    </row>
    <row r="332" spans="1:12" ht="13.5" customHeight="1">
      <c r="A332" s="94"/>
      <c r="B332" s="94"/>
      <c r="C332" s="94"/>
      <c r="D332" s="94"/>
      <c r="E332" s="282"/>
      <c r="F332" s="282"/>
      <c r="G332" s="94"/>
      <c r="H332" s="94"/>
      <c r="I332" s="94"/>
      <c r="J332" s="94"/>
      <c r="K332" s="94"/>
      <c r="L332" s="94"/>
    </row>
    <row r="333" spans="1:12" ht="13.5" customHeight="1">
      <c r="A333" s="94"/>
      <c r="B333" s="94"/>
      <c r="C333" s="94"/>
      <c r="D333" s="94"/>
      <c r="E333" s="282"/>
      <c r="F333" s="282"/>
      <c r="G333" s="94"/>
      <c r="H333" s="94"/>
      <c r="I333" s="94"/>
      <c r="J333" s="94"/>
      <c r="K333" s="94"/>
      <c r="L333" s="94"/>
    </row>
    <row r="334" spans="1:12" ht="13.5" customHeight="1">
      <c r="A334" s="94"/>
      <c r="B334" s="94"/>
      <c r="C334" s="94"/>
      <c r="D334" s="94"/>
      <c r="E334" s="282"/>
      <c r="F334" s="282"/>
      <c r="G334" s="94"/>
      <c r="H334" s="94"/>
      <c r="I334" s="94"/>
      <c r="J334" s="94"/>
      <c r="K334" s="94"/>
      <c r="L334" s="94"/>
    </row>
    <row r="335" spans="1:12" ht="13.5" customHeight="1">
      <c r="A335" s="94"/>
      <c r="B335" s="94"/>
      <c r="C335" s="94"/>
      <c r="D335" s="94"/>
      <c r="E335" s="282"/>
      <c r="F335" s="282"/>
      <c r="G335" s="94"/>
      <c r="H335" s="94"/>
      <c r="I335" s="94"/>
      <c r="J335" s="94"/>
      <c r="K335" s="94"/>
      <c r="L335" s="94"/>
    </row>
    <row r="336" spans="1:12" ht="13.5" customHeight="1">
      <c r="A336" s="94"/>
      <c r="B336" s="94"/>
      <c r="C336" s="94"/>
      <c r="D336" s="94"/>
      <c r="E336" s="282"/>
      <c r="F336" s="282"/>
      <c r="G336" s="94"/>
      <c r="H336" s="94"/>
      <c r="I336" s="94"/>
      <c r="J336" s="94"/>
      <c r="K336" s="94"/>
      <c r="L336" s="94"/>
    </row>
    <row r="337" spans="1:12" ht="13.5" customHeight="1">
      <c r="A337" s="94"/>
      <c r="B337" s="94"/>
      <c r="C337" s="94"/>
      <c r="D337" s="94"/>
      <c r="E337" s="282"/>
      <c r="F337" s="282"/>
      <c r="G337" s="94"/>
      <c r="H337" s="94"/>
      <c r="I337" s="94"/>
      <c r="J337" s="94"/>
      <c r="K337" s="94"/>
      <c r="L337" s="94"/>
    </row>
    <row r="338" spans="1:12" ht="13.5" customHeight="1">
      <c r="A338" s="94"/>
      <c r="B338" s="94"/>
      <c r="C338" s="94"/>
      <c r="D338" s="94"/>
      <c r="E338" s="282"/>
      <c r="F338" s="282"/>
      <c r="G338" s="94"/>
      <c r="H338" s="94"/>
      <c r="I338" s="94"/>
      <c r="J338" s="94"/>
      <c r="K338" s="94"/>
      <c r="L338" s="94"/>
    </row>
    <row r="339" spans="1:12" ht="13.5" customHeight="1">
      <c r="A339" s="94"/>
      <c r="B339" s="94"/>
      <c r="C339" s="94"/>
      <c r="D339" s="94"/>
      <c r="E339" s="282"/>
      <c r="F339" s="282"/>
      <c r="G339" s="94"/>
      <c r="H339" s="94"/>
      <c r="I339" s="94"/>
      <c r="J339" s="94"/>
      <c r="K339" s="94"/>
      <c r="L339" s="94"/>
    </row>
    <row r="340" spans="1:12" ht="13.5" customHeight="1">
      <c r="A340" s="94"/>
      <c r="B340" s="94"/>
      <c r="C340" s="94"/>
      <c r="D340" s="94"/>
      <c r="E340" s="282"/>
      <c r="F340" s="282"/>
      <c r="G340" s="94"/>
      <c r="H340" s="94"/>
      <c r="I340" s="94"/>
      <c r="J340" s="94"/>
      <c r="K340" s="94"/>
      <c r="L340" s="94"/>
    </row>
    <row r="341" spans="1:12" ht="13.5" customHeight="1">
      <c r="A341" s="94"/>
      <c r="B341" s="94"/>
      <c r="C341" s="94"/>
      <c r="D341" s="94"/>
      <c r="E341" s="282"/>
      <c r="F341" s="282"/>
      <c r="G341" s="94"/>
      <c r="H341" s="94"/>
      <c r="I341" s="94"/>
      <c r="J341" s="94"/>
      <c r="K341" s="94"/>
      <c r="L341" s="94"/>
    </row>
    <row r="342" spans="1:12" ht="13.5" customHeight="1">
      <c r="A342" s="94"/>
      <c r="B342" s="94"/>
      <c r="C342" s="94"/>
      <c r="D342" s="94"/>
      <c r="E342" s="282"/>
      <c r="F342" s="282"/>
      <c r="G342" s="94"/>
      <c r="H342" s="94"/>
      <c r="I342" s="94"/>
      <c r="J342" s="94"/>
      <c r="K342" s="94"/>
      <c r="L342" s="94"/>
    </row>
    <row r="343" spans="1:12" ht="13.5" customHeight="1">
      <c r="A343" s="94"/>
      <c r="B343" s="94"/>
      <c r="C343" s="94"/>
      <c r="D343" s="94"/>
      <c r="E343" s="282"/>
      <c r="F343" s="282"/>
      <c r="G343" s="94"/>
      <c r="H343" s="94"/>
      <c r="I343" s="94"/>
      <c r="J343" s="94"/>
      <c r="K343" s="94"/>
      <c r="L343" s="94"/>
    </row>
    <row r="344" spans="1:12" ht="13.5" customHeight="1">
      <c r="A344" s="94"/>
      <c r="B344" s="94"/>
      <c r="C344" s="94"/>
      <c r="D344" s="94"/>
      <c r="E344" s="282"/>
      <c r="F344" s="282"/>
      <c r="G344" s="94"/>
      <c r="H344" s="94"/>
      <c r="I344" s="94"/>
      <c r="J344" s="94"/>
      <c r="K344" s="94"/>
      <c r="L344" s="94"/>
    </row>
    <row r="345" spans="1:12" ht="13.5" customHeight="1">
      <c r="A345" s="94"/>
      <c r="B345" s="94"/>
      <c r="C345" s="94"/>
      <c r="D345" s="94"/>
      <c r="E345" s="282"/>
      <c r="F345" s="282"/>
      <c r="G345" s="94"/>
      <c r="H345" s="94"/>
      <c r="I345" s="94"/>
      <c r="J345" s="94"/>
      <c r="K345" s="94"/>
      <c r="L345" s="94"/>
    </row>
    <row r="346" spans="1:12" ht="13.5" customHeight="1">
      <c r="A346" s="94"/>
      <c r="B346" s="94"/>
      <c r="C346" s="94"/>
      <c r="D346" s="94"/>
      <c r="E346" s="282"/>
      <c r="F346" s="282"/>
      <c r="G346" s="94"/>
      <c r="H346" s="94"/>
      <c r="I346" s="94"/>
      <c r="J346" s="94"/>
      <c r="K346" s="94"/>
      <c r="L346" s="94"/>
    </row>
    <row r="347" spans="1:12" ht="13.5" customHeight="1">
      <c r="A347" s="94"/>
      <c r="B347" s="94"/>
      <c r="C347" s="94"/>
      <c r="D347" s="94"/>
      <c r="E347" s="282"/>
      <c r="F347" s="282"/>
      <c r="G347" s="94"/>
      <c r="H347" s="94"/>
      <c r="I347" s="94"/>
      <c r="J347" s="94"/>
      <c r="K347" s="94"/>
      <c r="L347" s="94"/>
    </row>
    <row r="348" spans="1:12" ht="13.5" customHeight="1">
      <c r="A348" s="94"/>
      <c r="B348" s="94"/>
      <c r="C348" s="94"/>
      <c r="D348" s="94"/>
      <c r="E348" s="282"/>
      <c r="F348" s="282"/>
      <c r="G348" s="94"/>
      <c r="H348" s="94"/>
      <c r="I348" s="94"/>
      <c r="J348" s="94"/>
      <c r="K348" s="94"/>
      <c r="L348" s="94"/>
    </row>
    <row r="349" spans="1:12" ht="13.5" customHeight="1">
      <c r="A349" s="94"/>
      <c r="B349" s="94"/>
      <c r="C349" s="94"/>
      <c r="D349" s="94"/>
      <c r="E349" s="282"/>
      <c r="F349" s="282"/>
      <c r="G349" s="94"/>
      <c r="H349" s="94"/>
      <c r="I349" s="94"/>
      <c r="J349" s="94"/>
      <c r="K349" s="94"/>
      <c r="L349" s="94"/>
    </row>
    <row r="350" spans="1:12" ht="13.5" customHeight="1">
      <c r="A350" s="94"/>
      <c r="B350" s="94"/>
      <c r="C350" s="94"/>
      <c r="D350" s="94"/>
      <c r="E350" s="282"/>
      <c r="F350" s="282"/>
      <c r="G350" s="94"/>
      <c r="H350" s="94"/>
      <c r="I350" s="94"/>
      <c r="J350" s="94"/>
      <c r="K350" s="94"/>
      <c r="L350" s="94"/>
    </row>
    <row r="351" spans="1:12" ht="13.5" customHeight="1">
      <c r="A351" s="94"/>
      <c r="B351" s="94"/>
      <c r="C351" s="94"/>
      <c r="D351" s="94"/>
      <c r="E351" s="282"/>
      <c r="F351" s="282"/>
      <c r="G351" s="94"/>
      <c r="H351" s="94"/>
      <c r="I351" s="94"/>
      <c r="J351" s="94"/>
      <c r="K351" s="94"/>
      <c r="L351" s="94"/>
    </row>
    <row r="352" spans="1:12" ht="13.5" customHeight="1">
      <c r="A352" s="94"/>
      <c r="B352" s="94"/>
      <c r="C352" s="94"/>
      <c r="D352" s="94"/>
      <c r="E352" s="282"/>
      <c r="F352" s="282"/>
      <c r="G352" s="94"/>
      <c r="H352" s="94"/>
      <c r="I352" s="94"/>
      <c r="J352" s="94"/>
      <c r="K352" s="94"/>
      <c r="L352" s="94"/>
    </row>
    <row r="353" spans="1:12" ht="13.5" customHeight="1">
      <c r="A353" s="94"/>
      <c r="B353" s="94"/>
      <c r="C353" s="94"/>
      <c r="D353" s="94"/>
      <c r="E353" s="282"/>
      <c r="F353" s="282"/>
      <c r="G353" s="94"/>
      <c r="H353" s="94"/>
      <c r="I353" s="94"/>
      <c r="J353" s="94"/>
      <c r="K353" s="94"/>
      <c r="L353" s="94"/>
    </row>
    <row r="354" spans="1:12" ht="13.5" customHeight="1">
      <c r="A354" s="94"/>
      <c r="B354" s="94"/>
      <c r="C354" s="94"/>
      <c r="D354" s="94"/>
      <c r="E354" s="282"/>
      <c r="F354" s="282"/>
      <c r="G354" s="94"/>
      <c r="H354" s="94"/>
      <c r="I354" s="94"/>
      <c r="J354" s="94"/>
      <c r="K354" s="94"/>
      <c r="L354" s="94"/>
    </row>
    <row r="355" spans="1:12" ht="13.5" customHeight="1">
      <c r="A355" s="94"/>
      <c r="B355" s="94"/>
      <c r="C355" s="94"/>
      <c r="D355" s="94"/>
      <c r="E355" s="282"/>
      <c r="F355" s="282"/>
      <c r="G355" s="94"/>
      <c r="H355" s="94"/>
      <c r="I355" s="94"/>
      <c r="J355" s="94"/>
      <c r="K355" s="94"/>
      <c r="L355" s="94"/>
    </row>
    <row r="356" spans="1:12" ht="13.5" customHeight="1">
      <c r="A356" s="94"/>
      <c r="B356" s="94"/>
      <c r="C356" s="94"/>
      <c r="D356" s="94"/>
      <c r="E356" s="282"/>
      <c r="F356" s="282"/>
      <c r="G356" s="94"/>
      <c r="H356" s="94"/>
      <c r="I356" s="94"/>
      <c r="J356" s="94"/>
      <c r="K356" s="94"/>
      <c r="L356" s="94"/>
    </row>
    <row r="357" spans="1:12" ht="13.5" customHeight="1">
      <c r="A357" s="94"/>
      <c r="B357" s="94"/>
      <c r="C357" s="94"/>
      <c r="D357" s="94"/>
      <c r="E357" s="282"/>
      <c r="F357" s="282"/>
      <c r="G357" s="94"/>
      <c r="H357" s="94"/>
      <c r="I357" s="94"/>
      <c r="J357" s="94"/>
      <c r="K357" s="94"/>
      <c r="L357" s="94"/>
    </row>
    <row r="358" spans="1:12" ht="13.5" customHeight="1">
      <c r="A358" s="94"/>
      <c r="B358" s="94"/>
      <c r="C358" s="94"/>
      <c r="D358" s="94"/>
      <c r="E358" s="282"/>
      <c r="F358" s="282"/>
      <c r="G358" s="94"/>
      <c r="H358" s="94"/>
      <c r="I358" s="94"/>
      <c r="J358" s="94"/>
      <c r="K358" s="94"/>
      <c r="L358" s="94"/>
    </row>
    <row r="359" spans="1:12" ht="13.5" customHeight="1">
      <c r="A359" s="94"/>
      <c r="B359" s="94"/>
      <c r="C359" s="94"/>
      <c r="D359" s="94"/>
      <c r="E359" s="282"/>
      <c r="F359" s="282"/>
      <c r="G359" s="94"/>
      <c r="H359" s="94"/>
      <c r="I359" s="94"/>
      <c r="J359" s="94"/>
      <c r="K359" s="94"/>
      <c r="L359" s="94"/>
    </row>
    <row r="360" spans="1:12" ht="13.5" customHeight="1">
      <c r="A360" s="94"/>
      <c r="B360" s="94"/>
      <c r="C360" s="94"/>
      <c r="D360" s="94"/>
      <c r="E360" s="282"/>
      <c r="F360" s="282"/>
      <c r="G360" s="94"/>
      <c r="H360" s="94"/>
      <c r="I360" s="94"/>
      <c r="J360" s="94"/>
      <c r="K360" s="94"/>
      <c r="L360" s="94"/>
    </row>
    <row r="361" spans="1:12" ht="13.5" customHeight="1">
      <c r="A361" s="94"/>
      <c r="B361" s="94"/>
      <c r="C361" s="94"/>
      <c r="D361" s="94"/>
      <c r="E361" s="282"/>
      <c r="F361" s="282"/>
      <c r="G361" s="94"/>
      <c r="H361" s="94"/>
      <c r="I361" s="94"/>
      <c r="J361" s="94"/>
      <c r="K361" s="94"/>
      <c r="L361" s="94"/>
    </row>
    <row r="362" spans="1:12" ht="13.5" customHeight="1">
      <c r="A362" s="94"/>
      <c r="B362" s="94"/>
      <c r="C362" s="94"/>
      <c r="D362" s="94"/>
      <c r="E362" s="282"/>
      <c r="F362" s="282"/>
      <c r="G362" s="94"/>
      <c r="H362" s="94"/>
      <c r="I362" s="94"/>
      <c r="J362" s="94"/>
      <c r="K362" s="94"/>
      <c r="L362" s="94"/>
    </row>
    <row r="363" spans="1:12" ht="13.5" customHeight="1">
      <c r="A363" s="94"/>
      <c r="B363" s="94"/>
      <c r="C363" s="94"/>
      <c r="D363" s="94"/>
      <c r="E363" s="282"/>
      <c r="F363" s="282"/>
      <c r="G363" s="94"/>
      <c r="H363" s="94"/>
      <c r="I363" s="94"/>
      <c r="J363" s="94"/>
      <c r="K363" s="94"/>
      <c r="L363" s="94"/>
    </row>
    <row r="364" spans="1:12" ht="13.5" customHeight="1">
      <c r="A364" s="94"/>
      <c r="B364" s="94"/>
      <c r="C364" s="94"/>
      <c r="D364" s="94"/>
      <c r="E364" s="282"/>
      <c r="F364" s="282"/>
      <c r="G364" s="94"/>
      <c r="H364" s="94"/>
      <c r="I364" s="94"/>
      <c r="J364" s="94"/>
      <c r="K364" s="94"/>
      <c r="L364" s="94"/>
    </row>
    <row r="365" spans="1:12" ht="13.5" customHeight="1">
      <c r="A365" s="94"/>
      <c r="B365" s="94"/>
      <c r="C365" s="94"/>
      <c r="D365" s="94"/>
      <c r="E365" s="282"/>
      <c r="F365" s="282"/>
      <c r="G365" s="94"/>
      <c r="H365" s="94"/>
      <c r="I365" s="94"/>
      <c r="J365" s="94"/>
      <c r="K365" s="94"/>
      <c r="L365" s="94"/>
    </row>
    <row r="366" spans="1:12" ht="13.5" customHeight="1">
      <c r="A366" s="94"/>
      <c r="B366" s="94"/>
      <c r="C366" s="94"/>
      <c r="D366" s="94"/>
      <c r="E366" s="282"/>
      <c r="F366" s="282"/>
      <c r="G366" s="94"/>
      <c r="H366" s="94"/>
      <c r="I366" s="94"/>
      <c r="J366" s="94"/>
      <c r="K366" s="94"/>
      <c r="L366" s="94"/>
    </row>
    <row r="367" spans="1:12" ht="13.5" customHeight="1">
      <c r="A367" s="94"/>
      <c r="B367" s="94"/>
      <c r="C367" s="94"/>
      <c r="D367" s="94"/>
      <c r="E367" s="282"/>
      <c r="F367" s="282"/>
      <c r="G367" s="94"/>
      <c r="H367" s="94"/>
      <c r="I367" s="94"/>
      <c r="J367" s="94"/>
      <c r="K367" s="94"/>
      <c r="L367" s="94"/>
    </row>
    <row r="368" spans="1:12" ht="13.5" customHeight="1">
      <c r="A368" s="94"/>
      <c r="B368" s="94"/>
      <c r="C368" s="94"/>
      <c r="D368" s="94"/>
      <c r="E368" s="282"/>
      <c r="F368" s="282"/>
      <c r="G368" s="94"/>
      <c r="H368" s="94"/>
      <c r="I368" s="94"/>
      <c r="J368" s="94"/>
      <c r="K368" s="94"/>
      <c r="L368" s="94"/>
    </row>
    <row r="369" spans="1:12" ht="13.5" customHeight="1">
      <c r="A369" s="94"/>
      <c r="B369" s="94"/>
      <c r="C369" s="94"/>
      <c r="D369" s="94"/>
      <c r="E369" s="282"/>
      <c r="F369" s="282"/>
      <c r="G369" s="94"/>
      <c r="H369" s="94"/>
      <c r="I369" s="94"/>
      <c r="J369" s="94"/>
      <c r="K369" s="94"/>
      <c r="L369" s="94"/>
    </row>
    <row r="370" spans="1:12" ht="13.5" customHeight="1">
      <c r="A370" s="94"/>
      <c r="B370" s="94"/>
      <c r="C370" s="94"/>
      <c r="D370" s="94"/>
      <c r="E370" s="282"/>
      <c r="F370" s="282"/>
      <c r="G370" s="94"/>
      <c r="H370" s="94"/>
      <c r="I370" s="94"/>
      <c r="J370" s="94"/>
      <c r="K370" s="94"/>
      <c r="L370" s="94"/>
    </row>
    <row r="371" spans="1:12" ht="13.5" customHeight="1">
      <c r="A371" s="94"/>
      <c r="B371" s="94"/>
      <c r="C371" s="94"/>
      <c r="D371" s="94"/>
      <c r="E371" s="282"/>
      <c r="F371" s="282"/>
      <c r="G371" s="94"/>
      <c r="H371" s="94"/>
      <c r="I371" s="94"/>
      <c r="J371" s="94"/>
      <c r="K371" s="94"/>
      <c r="L371" s="94"/>
    </row>
    <row r="372" spans="1:12" ht="13.5" customHeight="1">
      <c r="A372" s="94"/>
      <c r="B372" s="94"/>
      <c r="C372" s="94"/>
      <c r="D372" s="94"/>
      <c r="E372" s="282"/>
      <c r="F372" s="282"/>
      <c r="G372" s="94"/>
      <c r="H372" s="94"/>
      <c r="I372" s="94"/>
      <c r="J372" s="94"/>
      <c r="K372" s="94"/>
      <c r="L372" s="94"/>
    </row>
    <row r="373" spans="1:12" ht="13.5" customHeight="1">
      <c r="A373" s="94"/>
      <c r="B373" s="94"/>
      <c r="C373" s="94"/>
      <c r="D373" s="94"/>
      <c r="E373" s="282"/>
      <c r="F373" s="282"/>
      <c r="G373" s="94"/>
      <c r="H373" s="94"/>
      <c r="I373" s="94"/>
      <c r="J373" s="94"/>
      <c r="K373" s="94"/>
      <c r="L373" s="94"/>
    </row>
    <row r="374" spans="1:12" ht="13.5" customHeight="1">
      <c r="A374" s="94"/>
      <c r="B374" s="94"/>
      <c r="C374" s="94"/>
      <c r="D374" s="94"/>
      <c r="E374" s="282"/>
      <c r="F374" s="282"/>
      <c r="G374" s="94"/>
      <c r="H374" s="94"/>
      <c r="I374" s="94"/>
      <c r="J374" s="94"/>
      <c r="K374" s="94"/>
      <c r="L374" s="94"/>
    </row>
    <row r="375" spans="1:12" ht="13.5" customHeight="1">
      <c r="A375" s="94"/>
      <c r="B375" s="94"/>
      <c r="C375" s="94"/>
      <c r="D375" s="94"/>
      <c r="E375" s="282"/>
      <c r="F375" s="282"/>
      <c r="G375" s="94"/>
      <c r="H375" s="94"/>
      <c r="I375" s="94"/>
      <c r="J375" s="94"/>
      <c r="K375" s="94"/>
      <c r="L375" s="94"/>
    </row>
    <row r="376" spans="1:12" ht="13.5" customHeight="1">
      <c r="A376" s="94"/>
      <c r="B376" s="94"/>
      <c r="C376" s="94"/>
      <c r="D376" s="94"/>
      <c r="E376" s="282"/>
      <c r="F376" s="282"/>
      <c r="G376" s="94"/>
      <c r="H376" s="94"/>
      <c r="I376" s="94"/>
      <c r="J376" s="94"/>
      <c r="K376" s="94"/>
      <c r="L376" s="94"/>
    </row>
    <row r="377" spans="1:12" ht="13.5" customHeight="1">
      <c r="A377" s="94"/>
      <c r="B377" s="94"/>
      <c r="C377" s="94"/>
      <c r="D377" s="94"/>
      <c r="E377" s="282"/>
      <c r="F377" s="282"/>
      <c r="G377" s="94"/>
      <c r="H377" s="94"/>
      <c r="I377" s="94"/>
      <c r="J377" s="94"/>
      <c r="K377" s="94"/>
      <c r="L377" s="94"/>
    </row>
    <row r="378" spans="1:12" ht="13.5" customHeight="1">
      <c r="A378" s="94"/>
      <c r="B378" s="94"/>
      <c r="C378" s="94"/>
      <c r="D378" s="94"/>
      <c r="E378" s="282"/>
      <c r="F378" s="282"/>
      <c r="G378" s="94"/>
      <c r="H378" s="94"/>
      <c r="I378" s="94"/>
      <c r="J378" s="94"/>
      <c r="K378" s="94"/>
      <c r="L378" s="94"/>
    </row>
    <row r="379" spans="1:12" ht="13.5" customHeight="1">
      <c r="A379" s="94"/>
      <c r="B379" s="94"/>
      <c r="C379" s="94"/>
      <c r="D379" s="94"/>
      <c r="E379" s="282"/>
      <c r="F379" s="282"/>
      <c r="G379" s="94"/>
      <c r="H379" s="94"/>
      <c r="I379" s="94"/>
      <c r="J379" s="94"/>
      <c r="K379" s="94"/>
      <c r="L379" s="94"/>
    </row>
    <row r="380" spans="1:12" ht="13.5" customHeight="1">
      <c r="A380" s="94"/>
      <c r="B380" s="94"/>
      <c r="C380" s="94"/>
      <c r="D380" s="94"/>
      <c r="E380" s="282"/>
      <c r="F380" s="282"/>
      <c r="G380" s="94"/>
      <c r="H380" s="94"/>
      <c r="I380" s="94"/>
      <c r="J380" s="94"/>
      <c r="K380" s="94"/>
      <c r="L380" s="94"/>
    </row>
    <row r="381" spans="1:12" ht="13.5" customHeight="1">
      <c r="A381" s="94"/>
      <c r="B381" s="94"/>
      <c r="C381" s="94"/>
      <c r="D381" s="94"/>
      <c r="E381" s="282"/>
      <c r="F381" s="282"/>
      <c r="G381" s="94"/>
      <c r="H381" s="94"/>
      <c r="I381" s="94"/>
      <c r="J381" s="94"/>
      <c r="K381" s="94"/>
      <c r="L381" s="94"/>
    </row>
    <row r="382" spans="1:12" ht="13.5" customHeight="1">
      <c r="A382" s="94"/>
      <c r="B382" s="94"/>
      <c r="C382" s="94"/>
      <c r="D382" s="94"/>
      <c r="E382" s="282"/>
      <c r="F382" s="282"/>
      <c r="G382" s="94"/>
      <c r="H382" s="94"/>
      <c r="I382" s="94"/>
      <c r="J382" s="94"/>
      <c r="K382" s="94"/>
      <c r="L382" s="94"/>
    </row>
    <row r="383" spans="1:12" ht="13.5" customHeight="1">
      <c r="A383" s="94"/>
      <c r="B383" s="94"/>
      <c r="C383" s="94"/>
      <c r="D383" s="94"/>
      <c r="E383" s="282"/>
      <c r="F383" s="282"/>
      <c r="G383" s="94"/>
      <c r="H383" s="94"/>
      <c r="I383" s="94"/>
      <c r="J383" s="94"/>
      <c r="K383" s="94"/>
      <c r="L383" s="94"/>
    </row>
    <row r="384" spans="1:12" ht="13.5" customHeight="1">
      <c r="A384" s="94"/>
      <c r="B384" s="94"/>
      <c r="C384" s="94"/>
      <c r="D384" s="94"/>
      <c r="E384" s="282"/>
      <c r="F384" s="282"/>
      <c r="G384" s="94"/>
      <c r="H384" s="94"/>
      <c r="I384" s="94"/>
      <c r="J384" s="94"/>
      <c r="K384" s="94"/>
      <c r="L384" s="94"/>
    </row>
    <row r="385" spans="1:12" ht="13.5" customHeight="1">
      <c r="A385" s="94"/>
      <c r="B385" s="94"/>
      <c r="C385" s="94"/>
      <c r="D385" s="94"/>
      <c r="E385" s="282"/>
      <c r="F385" s="282"/>
      <c r="G385" s="94"/>
      <c r="H385" s="94"/>
      <c r="I385" s="94"/>
      <c r="J385" s="94"/>
      <c r="K385" s="94"/>
      <c r="L385" s="94"/>
    </row>
    <row r="386" spans="1:12" ht="13.5" customHeight="1">
      <c r="A386" s="94"/>
      <c r="B386" s="94"/>
      <c r="C386" s="94"/>
      <c r="D386" s="94"/>
      <c r="E386" s="282"/>
      <c r="F386" s="282"/>
      <c r="G386" s="94"/>
      <c r="H386" s="94"/>
      <c r="I386" s="94"/>
      <c r="J386" s="94"/>
      <c r="K386" s="94"/>
      <c r="L386" s="94"/>
    </row>
    <row r="387" spans="1:12" ht="13.5" customHeight="1">
      <c r="A387" s="94"/>
      <c r="B387" s="94"/>
      <c r="C387" s="94"/>
      <c r="D387" s="94"/>
      <c r="E387" s="282"/>
      <c r="F387" s="282"/>
      <c r="G387" s="94"/>
      <c r="H387" s="94"/>
      <c r="I387" s="94"/>
      <c r="J387" s="94"/>
      <c r="K387" s="94"/>
      <c r="L387" s="94"/>
    </row>
    <row r="388" spans="1:12" ht="13.5" customHeight="1">
      <c r="A388" s="94"/>
      <c r="B388" s="94"/>
      <c r="C388" s="94"/>
      <c r="D388" s="94"/>
      <c r="E388" s="282"/>
      <c r="F388" s="282"/>
      <c r="G388" s="94"/>
      <c r="H388" s="94"/>
      <c r="I388" s="94"/>
      <c r="J388" s="94"/>
      <c r="K388" s="94"/>
      <c r="L388" s="94"/>
    </row>
    <row r="389" spans="1:12" ht="13.5" customHeight="1">
      <c r="A389" s="94"/>
      <c r="B389" s="94"/>
      <c r="C389" s="94"/>
      <c r="D389" s="94"/>
      <c r="E389" s="282"/>
      <c r="F389" s="282"/>
      <c r="G389" s="94"/>
      <c r="H389" s="94"/>
      <c r="I389" s="94"/>
      <c r="J389" s="94"/>
      <c r="K389" s="94"/>
      <c r="L389" s="94"/>
    </row>
    <row r="390" spans="1:12" ht="13.5" customHeight="1">
      <c r="A390" s="94"/>
      <c r="B390" s="94"/>
      <c r="C390" s="94"/>
      <c r="D390" s="94"/>
      <c r="E390" s="282"/>
      <c r="F390" s="282"/>
      <c r="G390" s="94"/>
      <c r="H390" s="94"/>
      <c r="I390" s="94"/>
      <c r="J390" s="94"/>
      <c r="K390" s="94"/>
      <c r="L390" s="94"/>
    </row>
    <row r="391" spans="1:12" ht="13.5" customHeight="1">
      <c r="A391" s="94"/>
      <c r="B391" s="94"/>
      <c r="C391" s="94"/>
      <c r="D391" s="94"/>
      <c r="E391" s="282"/>
      <c r="F391" s="282"/>
      <c r="G391" s="94"/>
      <c r="H391" s="94"/>
      <c r="I391" s="94"/>
      <c r="J391" s="94"/>
      <c r="K391" s="94"/>
      <c r="L391" s="94"/>
    </row>
    <row r="392" spans="1:12" ht="13.5" customHeight="1">
      <c r="A392" s="94"/>
      <c r="B392" s="94"/>
      <c r="C392" s="94"/>
      <c r="D392" s="94"/>
      <c r="E392" s="282"/>
      <c r="F392" s="282"/>
      <c r="G392" s="94"/>
      <c r="H392" s="94"/>
      <c r="I392" s="94"/>
      <c r="J392" s="94"/>
      <c r="K392" s="94"/>
      <c r="L392" s="94"/>
    </row>
    <row r="393" spans="1:12" ht="13.5" customHeight="1">
      <c r="A393" s="94"/>
      <c r="B393" s="94"/>
      <c r="C393" s="94"/>
      <c r="D393" s="94"/>
      <c r="E393" s="282"/>
      <c r="F393" s="282"/>
      <c r="G393" s="94"/>
      <c r="H393" s="94"/>
      <c r="I393" s="94"/>
      <c r="J393" s="94"/>
      <c r="K393" s="94"/>
      <c r="L393" s="94"/>
    </row>
    <row r="394" spans="1:12" ht="13.5" customHeight="1">
      <c r="A394" s="94"/>
      <c r="B394" s="94"/>
      <c r="C394" s="94"/>
      <c r="D394" s="94"/>
      <c r="E394" s="282"/>
      <c r="F394" s="282"/>
      <c r="G394" s="94"/>
      <c r="H394" s="94"/>
      <c r="I394" s="94"/>
      <c r="J394" s="94"/>
      <c r="K394" s="94"/>
      <c r="L394" s="94"/>
    </row>
    <row r="395" spans="1:12" ht="13.5" customHeight="1">
      <c r="A395" s="94"/>
      <c r="B395" s="94"/>
      <c r="C395" s="94"/>
      <c r="D395" s="94"/>
      <c r="E395" s="282"/>
      <c r="F395" s="282"/>
      <c r="G395" s="94"/>
      <c r="H395" s="94"/>
      <c r="I395" s="94"/>
      <c r="J395" s="94"/>
      <c r="K395" s="94"/>
      <c r="L395" s="94"/>
    </row>
    <row r="396" spans="1:12" ht="13.5" customHeight="1">
      <c r="A396" s="94"/>
      <c r="B396" s="94"/>
      <c r="C396" s="94"/>
      <c r="D396" s="94"/>
      <c r="E396" s="282"/>
      <c r="F396" s="282"/>
      <c r="G396" s="94"/>
      <c r="H396" s="94"/>
      <c r="I396" s="94"/>
      <c r="J396" s="94"/>
      <c r="K396" s="94"/>
      <c r="L396" s="94"/>
    </row>
    <row r="397" spans="1:12" ht="13.5" customHeight="1">
      <c r="A397" s="94"/>
      <c r="B397" s="94"/>
      <c r="C397" s="94"/>
      <c r="D397" s="94"/>
      <c r="E397" s="282"/>
      <c r="F397" s="282"/>
      <c r="G397" s="94"/>
      <c r="H397" s="94"/>
      <c r="I397" s="94"/>
      <c r="J397" s="94"/>
      <c r="K397" s="94"/>
      <c r="L397" s="94"/>
    </row>
    <row r="398" spans="1:12" ht="13.5" customHeight="1">
      <c r="A398" s="94"/>
      <c r="B398" s="94"/>
      <c r="C398" s="94"/>
      <c r="D398" s="94"/>
      <c r="E398" s="282"/>
      <c r="F398" s="282"/>
      <c r="G398" s="94"/>
      <c r="H398" s="94"/>
      <c r="I398" s="94"/>
      <c r="J398" s="94"/>
      <c r="K398" s="94"/>
      <c r="L398" s="94"/>
    </row>
    <row r="399" spans="1:12" ht="13.5" customHeight="1">
      <c r="A399" s="94"/>
      <c r="B399" s="94"/>
      <c r="C399" s="94"/>
      <c r="D399" s="94"/>
      <c r="E399" s="282"/>
      <c r="F399" s="282"/>
      <c r="G399" s="94"/>
      <c r="H399" s="94"/>
      <c r="I399" s="94"/>
      <c r="J399" s="94"/>
      <c r="K399" s="94"/>
      <c r="L399" s="94"/>
    </row>
    <row r="400" spans="1:12" ht="13.5" customHeight="1">
      <c r="A400" s="94"/>
      <c r="B400" s="94"/>
      <c r="C400" s="94"/>
      <c r="D400" s="94"/>
      <c r="E400" s="282"/>
      <c r="F400" s="282"/>
      <c r="G400" s="94"/>
      <c r="H400" s="94"/>
      <c r="I400" s="94"/>
      <c r="J400" s="94"/>
      <c r="K400" s="94"/>
      <c r="L400" s="94"/>
    </row>
    <row r="401" spans="1:12" ht="13.5" customHeight="1">
      <c r="A401" s="94"/>
      <c r="B401" s="94"/>
      <c r="C401" s="94"/>
      <c r="D401" s="94"/>
      <c r="E401" s="282"/>
      <c r="F401" s="282"/>
      <c r="G401" s="94"/>
      <c r="H401" s="94"/>
      <c r="I401" s="94"/>
      <c r="J401" s="94"/>
      <c r="K401" s="94"/>
      <c r="L401" s="94"/>
    </row>
    <row r="402" spans="1:12" ht="13.5" customHeight="1">
      <c r="A402" s="94"/>
      <c r="B402" s="94"/>
      <c r="C402" s="94"/>
      <c r="D402" s="94"/>
      <c r="E402" s="282"/>
      <c r="F402" s="282"/>
      <c r="G402" s="94"/>
      <c r="H402" s="94"/>
      <c r="I402" s="94"/>
      <c r="J402" s="94"/>
      <c r="K402" s="94"/>
      <c r="L402" s="94"/>
    </row>
    <row r="403" spans="1:12" ht="13.5" customHeight="1">
      <c r="A403" s="94"/>
      <c r="B403" s="94"/>
      <c r="C403" s="94"/>
      <c r="D403" s="94"/>
      <c r="E403" s="282"/>
      <c r="F403" s="282"/>
      <c r="G403" s="94"/>
      <c r="H403" s="94"/>
      <c r="I403" s="94"/>
      <c r="J403" s="94"/>
      <c r="K403" s="94"/>
      <c r="L403" s="94"/>
    </row>
    <row r="404" spans="1:12" ht="13.5" customHeight="1">
      <c r="A404" s="94"/>
      <c r="B404" s="94"/>
      <c r="C404" s="94"/>
      <c r="D404" s="94"/>
      <c r="E404" s="282"/>
      <c r="F404" s="282"/>
      <c r="G404" s="94"/>
      <c r="H404" s="94"/>
      <c r="I404" s="94"/>
      <c r="J404" s="94"/>
      <c r="K404" s="94"/>
      <c r="L404" s="94"/>
    </row>
    <row r="405" spans="1:12" ht="13.5" customHeight="1">
      <c r="A405" s="94"/>
      <c r="B405" s="94"/>
      <c r="C405" s="94"/>
      <c r="D405" s="94"/>
      <c r="E405" s="282"/>
      <c r="F405" s="282"/>
      <c r="G405" s="94"/>
      <c r="H405" s="94"/>
      <c r="I405" s="94"/>
      <c r="J405" s="94"/>
      <c r="K405" s="94"/>
      <c r="L405" s="94"/>
    </row>
    <row r="406" spans="1:12" ht="13.5" customHeight="1">
      <c r="A406" s="94"/>
      <c r="B406" s="94"/>
      <c r="C406" s="94"/>
      <c r="D406" s="94"/>
      <c r="E406" s="282"/>
      <c r="F406" s="282"/>
      <c r="G406" s="94"/>
      <c r="H406" s="94"/>
      <c r="I406" s="94"/>
      <c r="J406" s="94"/>
      <c r="K406" s="94"/>
      <c r="L406" s="94"/>
    </row>
    <row r="407" spans="1:12" ht="13.5" customHeight="1">
      <c r="A407" s="94"/>
      <c r="B407" s="94"/>
      <c r="C407" s="94"/>
      <c r="D407" s="94"/>
      <c r="E407" s="282"/>
      <c r="F407" s="282"/>
      <c r="G407" s="94"/>
      <c r="H407" s="94"/>
      <c r="I407" s="94"/>
      <c r="J407" s="94"/>
      <c r="K407" s="94"/>
      <c r="L407" s="94"/>
    </row>
    <row r="408" spans="1:12" ht="13.5" customHeight="1">
      <c r="A408" s="94"/>
      <c r="B408" s="94"/>
      <c r="C408" s="94"/>
      <c r="D408" s="94"/>
      <c r="E408" s="282"/>
      <c r="F408" s="282"/>
      <c r="G408" s="94"/>
      <c r="H408" s="94"/>
      <c r="I408" s="94"/>
      <c r="J408" s="94"/>
      <c r="K408" s="94"/>
      <c r="L408" s="94"/>
    </row>
    <row r="409" spans="1:12" ht="13.5" customHeight="1">
      <c r="A409" s="94"/>
      <c r="B409" s="94"/>
      <c r="C409" s="94"/>
      <c r="D409" s="94"/>
      <c r="E409" s="282"/>
      <c r="F409" s="282"/>
      <c r="G409" s="94"/>
      <c r="H409" s="94"/>
      <c r="I409" s="94"/>
      <c r="J409" s="94"/>
      <c r="K409" s="94"/>
      <c r="L409" s="94"/>
    </row>
    <row r="410" spans="1:12" ht="13.5" customHeight="1">
      <c r="A410" s="94"/>
      <c r="B410" s="94"/>
      <c r="C410" s="94"/>
      <c r="D410" s="94"/>
      <c r="E410" s="282"/>
      <c r="F410" s="282"/>
      <c r="G410" s="94"/>
      <c r="H410" s="94"/>
      <c r="I410" s="94"/>
      <c r="J410" s="94"/>
      <c r="K410" s="94"/>
      <c r="L410" s="94"/>
    </row>
    <row r="411" spans="1:12" ht="13.5" customHeight="1">
      <c r="A411" s="94"/>
      <c r="B411" s="94"/>
      <c r="C411" s="94"/>
      <c r="D411" s="94"/>
      <c r="E411" s="282"/>
      <c r="F411" s="282"/>
      <c r="G411" s="94"/>
      <c r="H411" s="94"/>
      <c r="I411" s="94"/>
      <c r="J411" s="94"/>
      <c r="K411" s="94"/>
      <c r="L411" s="94"/>
    </row>
    <row r="412" spans="1:12" ht="13.5" customHeight="1">
      <c r="A412" s="94"/>
      <c r="B412" s="94"/>
      <c r="C412" s="94"/>
      <c r="D412" s="94"/>
      <c r="E412" s="282"/>
      <c r="F412" s="282"/>
      <c r="G412" s="94"/>
      <c r="H412" s="94"/>
      <c r="I412" s="94"/>
      <c r="J412" s="94"/>
      <c r="K412" s="94"/>
      <c r="L412" s="94"/>
    </row>
    <row r="413" spans="1:12" ht="13.5" customHeight="1">
      <c r="A413" s="94"/>
      <c r="B413" s="94"/>
      <c r="C413" s="94"/>
      <c r="D413" s="94"/>
      <c r="E413" s="282"/>
      <c r="F413" s="282"/>
      <c r="G413" s="94"/>
      <c r="H413" s="94"/>
      <c r="I413" s="94"/>
      <c r="J413" s="94"/>
      <c r="K413" s="94"/>
      <c r="L413" s="94"/>
    </row>
    <row r="414" spans="1:12" ht="13.5" customHeight="1">
      <c r="A414" s="94"/>
      <c r="B414" s="94"/>
      <c r="C414" s="94"/>
      <c r="D414" s="94"/>
      <c r="E414" s="282"/>
      <c r="F414" s="282"/>
      <c r="G414" s="94"/>
      <c r="H414" s="94"/>
      <c r="I414" s="94"/>
      <c r="J414" s="94"/>
      <c r="K414" s="94"/>
      <c r="L414" s="94"/>
    </row>
    <row r="415" spans="1:12" ht="13.5" customHeight="1">
      <c r="A415" s="94"/>
      <c r="B415" s="94"/>
      <c r="C415" s="94"/>
      <c r="D415" s="94"/>
      <c r="E415" s="282"/>
      <c r="F415" s="282"/>
      <c r="G415" s="94"/>
      <c r="H415" s="94"/>
      <c r="I415" s="94"/>
      <c r="J415" s="94"/>
      <c r="K415" s="94"/>
      <c r="L415" s="94"/>
    </row>
    <row r="416" spans="1:12" ht="13.5" customHeight="1">
      <c r="A416" s="94"/>
      <c r="B416" s="94"/>
      <c r="C416" s="94"/>
      <c r="D416" s="94"/>
      <c r="E416" s="282"/>
      <c r="F416" s="282"/>
      <c r="G416" s="94"/>
      <c r="H416" s="94"/>
      <c r="I416" s="94"/>
      <c r="J416" s="94"/>
      <c r="K416" s="94"/>
      <c r="L416" s="94"/>
    </row>
    <row r="417" spans="1:12" ht="13.5" customHeight="1">
      <c r="A417" s="94"/>
      <c r="B417" s="94"/>
      <c r="C417" s="94"/>
      <c r="D417" s="94"/>
      <c r="E417" s="282"/>
      <c r="F417" s="282"/>
      <c r="G417" s="94"/>
      <c r="H417" s="94"/>
      <c r="I417" s="94"/>
      <c r="J417" s="94"/>
      <c r="K417" s="94"/>
      <c r="L417" s="94"/>
    </row>
    <row r="418" spans="1:12" ht="13.5" customHeight="1">
      <c r="A418" s="94"/>
      <c r="B418" s="94"/>
      <c r="C418" s="94"/>
      <c r="D418" s="94"/>
      <c r="E418" s="282"/>
      <c r="F418" s="282"/>
      <c r="G418" s="94"/>
      <c r="H418" s="94"/>
      <c r="I418" s="94"/>
      <c r="J418" s="94"/>
      <c r="K418" s="94"/>
      <c r="L418" s="94"/>
    </row>
    <row r="419" spans="1:12" ht="13.5" customHeight="1">
      <c r="A419" s="94"/>
      <c r="B419" s="94"/>
      <c r="C419" s="94"/>
      <c r="D419" s="94"/>
      <c r="E419" s="282"/>
      <c r="F419" s="282"/>
      <c r="G419" s="94"/>
      <c r="H419" s="94"/>
      <c r="I419" s="94"/>
      <c r="J419" s="94"/>
      <c r="K419" s="94"/>
      <c r="L419" s="94"/>
    </row>
    <row r="420" spans="1:12" ht="13.5" customHeight="1">
      <c r="A420" s="94"/>
      <c r="B420" s="94"/>
      <c r="C420" s="94"/>
      <c r="D420" s="94"/>
      <c r="E420" s="282"/>
      <c r="F420" s="282"/>
      <c r="G420" s="94"/>
      <c r="H420" s="94"/>
      <c r="I420" s="94"/>
      <c r="J420" s="94"/>
      <c r="K420" s="94"/>
      <c r="L420" s="94"/>
    </row>
    <row r="421" spans="1:12" ht="13.5" customHeight="1">
      <c r="A421" s="94"/>
      <c r="B421" s="94"/>
      <c r="C421" s="94"/>
      <c r="D421" s="94"/>
      <c r="E421" s="282"/>
      <c r="F421" s="282"/>
      <c r="G421" s="94"/>
      <c r="H421" s="94"/>
      <c r="I421" s="94"/>
      <c r="J421" s="94"/>
      <c r="K421" s="94"/>
      <c r="L421" s="94"/>
    </row>
    <row r="422" spans="1:12" ht="13.5" customHeight="1">
      <c r="A422" s="94"/>
      <c r="B422" s="94"/>
      <c r="C422" s="94"/>
      <c r="D422" s="94"/>
      <c r="E422" s="282"/>
      <c r="F422" s="282"/>
      <c r="G422" s="94"/>
      <c r="H422" s="94"/>
      <c r="I422" s="94"/>
      <c r="J422" s="94"/>
      <c r="K422" s="94"/>
      <c r="L422" s="94"/>
    </row>
    <row r="423" spans="1:12" ht="13.5" customHeight="1">
      <c r="A423" s="94"/>
      <c r="B423" s="94"/>
      <c r="C423" s="94"/>
      <c r="D423" s="94"/>
      <c r="E423" s="282"/>
      <c r="F423" s="282"/>
      <c r="G423" s="94"/>
      <c r="H423" s="94"/>
      <c r="I423" s="94"/>
      <c r="J423" s="94"/>
      <c r="K423" s="94"/>
      <c r="L423" s="94"/>
    </row>
    <row r="424" spans="1:12" ht="13.5" customHeight="1">
      <c r="A424" s="94"/>
      <c r="B424" s="94"/>
      <c r="C424" s="94"/>
      <c r="D424" s="94"/>
      <c r="E424" s="282"/>
      <c r="F424" s="282"/>
      <c r="G424" s="94"/>
      <c r="H424" s="94"/>
      <c r="I424" s="94"/>
      <c r="J424" s="94"/>
      <c r="K424" s="94"/>
      <c r="L424" s="94"/>
    </row>
    <row r="425" spans="1:12" ht="13.5" customHeight="1">
      <c r="A425" s="94"/>
      <c r="B425" s="94"/>
      <c r="C425" s="94"/>
      <c r="D425" s="94"/>
      <c r="E425" s="282"/>
      <c r="F425" s="282"/>
      <c r="G425" s="94"/>
      <c r="H425" s="94"/>
      <c r="I425" s="94"/>
      <c r="J425" s="94"/>
      <c r="K425" s="94"/>
      <c r="L425" s="94"/>
    </row>
    <row r="426" spans="1:12" ht="13.5" customHeight="1">
      <c r="A426" s="94"/>
      <c r="B426" s="94"/>
      <c r="C426" s="94"/>
      <c r="D426" s="94"/>
      <c r="E426" s="282"/>
      <c r="F426" s="282"/>
      <c r="G426" s="94"/>
      <c r="H426" s="94"/>
      <c r="I426" s="94"/>
      <c r="J426" s="94"/>
      <c r="K426" s="94"/>
      <c r="L426" s="94"/>
    </row>
    <row r="427" spans="1:12" ht="13.5" customHeight="1">
      <c r="A427" s="94"/>
      <c r="B427" s="94"/>
      <c r="C427" s="94"/>
      <c r="D427" s="94"/>
      <c r="E427" s="282"/>
      <c r="F427" s="282"/>
      <c r="G427" s="94"/>
      <c r="H427" s="94"/>
      <c r="I427" s="94"/>
      <c r="J427" s="94"/>
      <c r="K427" s="94"/>
      <c r="L427" s="94"/>
    </row>
    <row r="428" spans="1:12" ht="13.5" customHeight="1">
      <c r="A428" s="94"/>
      <c r="B428" s="94"/>
      <c r="C428" s="94"/>
      <c r="D428" s="94"/>
      <c r="E428" s="282"/>
      <c r="F428" s="282"/>
      <c r="G428" s="94"/>
      <c r="H428" s="94"/>
      <c r="I428" s="94"/>
      <c r="J428" s="94"/>
      <c r="K428" s="94"/>
      <c r="L428" s="94"/>
    </row>
    <row r="429" spans="1:12" ht="13.5" customHeight="1">
      <c r="A429" s="94"/>
      <c r="B429" s="94"/>
      <c r="C429" s="94"/>
      <c r="D429" s="94"/>
      <c r="E429" s="282"/>
      <c r="F429" s="282"/>
      <c r="G429" s="94"/>
      <c r="H429" s="94"/>
      <c r="I429" s="94"/>
      <c r="J429" s="94"/>
      <c r="K429" s="94"/>
      <c r="L429" s="94"/>
    </row>
    <row r="430" spans="1:12" ht="13.5" customHeight="1">
      <c r="A430" s="94"/>
      <c r="B430" s="94"/>
      <c r="C430" s="94"/>
      <c r="D430" s="94"/>
      <c r="E430" s="282"/>
      <c r="F430" s="282"/>
      <c r="G430" s="94"/>
      <c r="H430" s="94"/>
      <c r="I430" s="94"/>
      <c r="J430" s="94"/>
      <c r="K430" s="94"/>
      <c r="L430" s="94"/>
    </row>
    <row r="431" spans="1:12" ht="13.5" customHeight="1">
      <c r="A431" s="94"/>
      <c r="B431" s="94"/>
      <c r="C431" s="94"/>
      <c r="D431" s="94"/>
      <c r="E431" s="282"/>
      <c r="F431" s="282"/>
      <c r="G431" s="94"/>
      <c r="H431" s="94"/>
      <c r="I431" s="94"/>
      <c r="J431" s="94"/>
      <c r="K431" s="94"/>
      <c r="L431" s="94"/>
    </row>
    <row r="432" spans="1:12" ht="13.5" customHeight="1">
      <c r="A432" s="94"/>
      <c r="B432" s="94"/>
      <c r="C432" s="94"/>
      <c r="D432" s="94"/>
      <c r="E432" s="282"/>
      <c r="F432" s="282"/>
      <c r="G432" s="94"/>
      <c r="H432" s="94"/>
      <c r="I432" s="94"/>
      <c r="J432" s="94"/>
      <c r="K432" s="94"/>
      <c r="L432" s="94"/>
    </row>
    <row r="433" spans="1:12" ht="13.5" customHeight="1">
      <c r="A433" s="94"/>
      <c r="B433" s="94"/>
      <c r="C433" s="94"/>
      <c r="D433" s="94"/>
      <c r="E433" s="282"/>
      <c r="F433" s="282"/>
      <c r="G433" s="94"/>
      <c r="H433" s="94"/>
      <c r="I433" s="94"/>
      <c r="J433" s="94"/>
      <c r="K433" s="94"/>
      <c r="L433" s="94"/>
    </row>
    <row r="434" spans="1:12" ht="13.5" customHeight="1">
      <c r="A434" s="94"/>
      <c r="B434" s="94"/>
      <c r="C434" s="94"/>
      <c r="D434" s="94"/>
      <c r="E434" s="282"/>
      <c r="F434" s="282"/>
      <c r="G434" s="94"/>
      <c r="H434" s="94"/>
      <c r="I434" s="94"/>
      <c r="J434" s="94"/>
      <c r="K434" s="94"/>
      <c r="L434" s="94"/>
    </row>
    <row r="435" spans="1:12" ht="13.5" customHeight="1">
      <c r="A435" s="94"/>
      <c r="B435" s="94"/>
      <c r="C435" s="94"/>
      <c r="D435" s="94"/>
      <c r="E435" s="282"/>
      <c r="F435" s="282"/>
      <c r="G435" s="94"/>
      <c r="H435" s="94"/>
      <c r="I435" s="94"/>
      <c r="J435" s="94"/>
      <c r="K435" s="94"/>
      <c r="L435" s="94"/>
    </row>
    <row r="436" spans="1:12" ht="13.5" customHeight="1">
      <c r="A436" s="94"/>
      <c r="B436" s="94"/>
      <c r="C436" s="94"/>
      <c r="D436" s="94"/>
      <c r="E436" s="282"/>
      <c r="F436" s="282"/>
      <c r="G436" s="94"/>
      <c r="H436" s="94"/>
      <c r="I436" s="94"/>
      <c r="J436" s="94"/>
      <c r="K436" s="94"/>
      <c r="L436" s="94"/>
    </row>
    <row r="437" spans="1:12" ht="13.5" customHeight="1">
      <c r="A437" s="94"/>
      <c r="B437" s="94"/>
      <c r="C437" s="94"/>
      <c r="D437" s="94"/>
      <c r="E437" s="282"/>
      <c r="F437" s="282"/>
      <c r="G437" s="94"/>
      <c r="H437" s="94"/>
      <c r="I437" s="94"/>
      <c r="J437" s="94"/>
      <c r="K437" s="94"/>
      <c r="L437" s="94"/>
    </row>
    <row r="438" spans="1:12" ht="13.5" customHeight="1">
      <c r="A438" s="94"/>
      <c r="B438" s="94"/>
      <c r="C438" s="94"/>
      <c r="D438" s="94"/>
      <c r="E438" s="282"/>
      <c r="F438" s="282"/>
      <c r="G438" s="94"/>
      <c r="H438" s="94"/>
      <c r="I438" s="94"/>
      <c r="J438" s="94"/>
      <c r="K438" s="94"/>
      <c r="L438" s="94"/>
    </row>
    <row r="439" spans="1:12" ht="13.5" customHeight="1">
      <c r="A439" s="94"/>
      <c r="B439" s="94"/>
      <c r="C439" s="94"/>
      <c r="D439" s="94"/>
      <c r="E439" s="282"/>
      <c r="F439" s="282"/>
      <c r="G439" s="94"/>
      <c r="H439" s="94"/>
      <c r="I439" s="94"/>
      <c r="J439" s="94"/>
      <c r="K439" s="94"/>
      <c r="L439" s="94"/>
    </row>
    <row r="440" spans="1:12" ht="13.5" customHeight="1">
      <c r="A440" s="94"/>
      <c r="B440" s="94"/>
      <c r="C440" s="94"/>
      <c r="D440" s="94"/>
      <c r="E440" s="282"/>
      <c r="F440" s="282"/>
      <c r="G440" s="94"/>
      <c r="H440" s="94"/>
      <c r="I440" s="94"/>
      <c r="J440" s="94"/>
      <c r="K440" s="94"/>
      <c r="L440" s="94"/>
    </row>
    <row r="441" spans="1:12" ht="13.5" customHeight="1">
      <c r="A441" s="94"/>
      <c r="B441" s="94"/>
      <c r="C441" s="94"/>
      <c r="D441" s="94"/>
      <c r="E441" s="282"/>
      <c r="F441" s="282"/>
      <c r="G441" s="94"/>
      <c r="H441" s="94"/>
      <c r="I441" s="94"/>
      <c r="J441" s="94"/>
      <c r="K441" s="94"/>
      <c r="L441" s="94"/>
    </row>
    <row r="442" spans="1:12" ht="13.5" customHeight="1">
      <c r="A442" s="94"/>
      <c r="B442" s="94"/>
      <c r="C442" s="94"/>
      <c r="D442" s="94"/>
      <c r="E442" s="282"/>
      <c r="F442" s="282"/>
      <c r="G442" s="94"/>
      <c r="H442" s="94"/>
      <c r="I442" s="94"/>
      <c r="J442" s="94"/>
      <c r="K442" s="94"/>
      <c r="L442" s="94"/>
    </row>
    <row r="443" spans="1:12" ht="13.5" customHeight="1">
      <c r="A443" s="94"/>
      <c r="B443" s="94"/>
      <c r="C443" s="94"/>
      <c r="D443" s="94"/>
      <c r="E443" s="282"/>
      <c r="F443" s="282"/>
      <c r="G443" s="94"/>
      <c r="H443" s="94"/>
      <c r="I443" s="94"/>
      <c r="J443" s="94"/>
      <c r="K443" s="94"/>
      <c r="L443" s="94"/>
    </row>
    <row r="444" spans="1:12" ht="13.5" customHeight="1">
      <c r="A444" s="94"/>
      <c r="B444" s="94"/>
      <c r="C444" s="94"/>
      <c r="D444" s="94"/>
      <c r="E444" s="282"/>
      <c r="F444" s="282"/>
      <c r="G444" s="94"/>
      <c r="H444" s="94"/>
      <c r="I444" s="94"/>
      <c r="J444" s="94"/>
      <c r="K444" s="94"/>
      <c r="L444" s="94"/>
    </row>
    <row r="445" spans="1:12" ht="13.5" customHeight="1">
      <c r="A445" s="94"/>
      <c r="B445" s="94"/>
      <c r="C445" s="94"/>
      <c r="D445" s="94"/>
      <c r="E445" s="282"/>
      <c r="F445" s="282"/>
      <c r="G445" s="94"/>
      <c r="H445" s="94"/>
      <c r="I445" s="94"/>
      <c r="J445" s="94"/>
      <c r="K445" s="94"/>
      <c r="L445" s="94"/>
    </row>
    <row r="446" spans="1:12" ht="13.5" customHeight="1">
      <c r="A446" s="94"/>
      <c r="B446" s="94"/>
      <c r="C446" s="94"/>
      <c r="D446" s="94"/>
      <c r="E446" s="282"/>
      <c r="F446" s="282"/>
      <c r="G446" s="94"/>
      <c r="H446" s="94"/>
      <c r="I446" s="94"/>
      <c r="J446" s="94"/>
      <c r="K446" s="94"/>
      <c r="L446" s="94"/>
    </row>
    <row r="447" spans="1:12" ht="13.5" customHeight="1">
      <c r="A447" s="94"/>
      <c r="B447" s="94"/>
      <c r="C447" s="94"/>
      <c r="D447" s="94"/>
      <c r="E447" s="282"/>
      <c r="F447" s="282"/>
      <c r="G447" s="94"/>
      <c r="H447" s="94"/>
      <c r="I447" s="94"/>
      <c r="J447" s="94"/>
      <c r="K447" s="94"/>
      <c r="L447" s="94"/>
    </row>
    <row r="448" spans="1:12" ht="13.5" customHeight="1">
      <c r="A448" s="94"/>
      <c r="B448" s="94"/>
      <c r="C448" s="94"/>
      <c r="D448" s="94"/>
      <c r="E448" s="282"/>
      <c r="F448" s="282"/>
      <c r="G448" s="94"/>
      <c r="H448" s="94"/>
      <c r="I448" s="94"/>
      <c r="J448" s="94"/>
      <c r="K448" s="94"/>
      <c r="L448" s="94"/>
    </row>
    <row r="449" spans="1:12" ht="13.5" customHeight="1">
      <c r="A449" s="94"/>
      <c r="B449" s="94"/>
      <c r="C449" s="94"/>
      <c r="D449" s="94"/>
      <c r="E449" s="282"/>
      <c r="F449" s="282"/>
      <c r="G449" s="94"/>
      <c r="H449" s="94"/>
      <c r="I449" s="94"/>
      <c r="J449" s="94"/>
      <c r="K449" s="94"/>
      <c r="L449" s="94"/>
    </row>
    <row r="450" spans="1:12" ht="13.5" customHeight="1">
      <c r="A450" s="94"/>
      <c r="B450" s="94"/>
      <c r="C450" s="94"/>
      <c r="D450" s="94"/>
      <c r="E450" s="282"/>
      <c r="F450" s="282"/>
      <c r="G450" s="94"/>
      <c r="H450" s="94"/>
      <c r="I450" s="94"/>
      <c r="J450" s="94"/>
      <c r="K450" s="94"/>
      <c r="L450" s="94"/>
    </row>
    <row r="451" spans="1:12" ht="13.5" customHeight="1">
      <c r="A451" s="94"/>
      <c r="B451" s="94"/>
      <c r="C451" s="94"/>
      <c r="D451" s="94"/>
      <c r="E451" s="282"/>
      <c r="F451" s="282"/>
      <c r="G451" s="94"/>
      <c r="H451" s="94"/>
      <c r="I451" s="94"/>
      <c r="J451" s="94"/>
      <c r="K451" s="94"/>
      <c r="L451" s="94"/>
    </row>
    <row r="452" spans="1:12" ht="13.5" customHeight="1">
      <c r="A452" s="94"/>
      <c r="B452" s="94"/>
      <c r="C452" s="94"/>
      <c r="D452" s="94"/>
      <c r="E452" s="282"/>
      <c r="F452" s="282"/>
      <c r="G452" s="94"/>
      <c r="H452" s="94"/>
      <c r="I452" s="94"/>
      <c r="J452" s="94"/>
      <c r="K452" s="94"/>
      <c r="L452" s="94"/>
    </row>
    <row r="453" spans="1:12" ht="13.5" customHeight="1">
      <c r="A453" s="94"/>
      <c r="B453" s="94"/>
      <c r="C453" s="94"/>
      <c r="D453" s="94"/>
      <c r="E453" s="282"/>
      <c r="F453" s="282"/>
      <c r="G453" s="94"/>
      <c r="H453" s="94"/>
      <c r="I453" s="94"/>
      <c r="J453" s="94"/>
      <c r="K453" s="94"/>
      <c r="L453" s="94"/>
    </row>
    <row r="454" spans="1:12" ht="13.5" customHeight="1">
      <c r="A454" s="94"/>
      <c r="B454" s="94"/>
      <c r="C454" s="94"/>
      <c r="D454" s="94"/>
      <c r="E454" s="282"/>
      <c r="F454" s="282"/>
      <c r="G454" s="94"/>
      <c r="H454" s="94"/>
      <c r="I454" s="94"/>
      <c r="J454" s="94"/>
      <c r="K454" s="94"/>
      <c r="L454" s="94"/>
    </row>
    <row r="455" spans="1:12" ht="13.5" customHeight="1">
      <c r="A455" s="94"/>
      <c r="B455" s="94"/>
      <c r="C455" s="94"/>
      <c r="D455" s="94"/>
      <c r="E455" s="282"/>
      <c r="F455" s="282"/>
      <c r="G455" s="94"/>
      <c r="H455" s="94"/>
      <c r="I455" s="94"/>
      <c r="J455" s="94"/>
      <c r="K455" s="94"/>
      <c r="L455" s="94"/>
    </row>
    <row r="456" spans="1:12" ht="13.5" customHeight="1">
      <c r="A456" s="94"/>
      <c r="B456" s="94"/>
      <c r="C456" s="94"/>
      <c r="D456" s="94"/>
      <c r="E456" s="282"/>
      <c r="F456" s="282"/>
      <c r="G456" s="94"/>
      <c r="H456" s="94"/>
      <c r="I456" s="94"/>
      <c r="J456" s="94"/>
      <c r="K456" s="94"/>
      <c r="L456" s="94"/>
    </row>
    <row r="457" spans="1:12" ht="13.5" customHeight="1">
      <c r="A457" s="94"/>
      <c r="B457" s="94"/>
      <c r="C457" s="94"/>
      <c r="D457" s="94"/>
      <c r="E457" s="282"/>
      <c r="F457" s="282"/>
      <c r="G457" s="94"/>
      <c r="H457" s="94"/>
      <c r="I457" s="94"/>
      <c r="J457" s="94"/>
      <c r="K457" s="94"/>
      <c r="L457" s="94"/>
    </row>
    <row r="458" spans="1:12" ht="13.5" customHeight="1">
      <c r="A458" s="94"/>
      <c r="B458" s="94"/>
      <c r="C458" s="94"/>
      <c r="D458" s="94"/>
      <c r="E458" s="282"/>
      <c r="F458" s="282"/>
      <c r="G458" s="94"/>
      <c r="H458" s="94"/>
      <c r="I458" s="94"/>
      <c r="J458" s="94"/>
      <c r="K458" s="94"/>
      <c r="L458" s="94"/>
    </row>
    <row r="459" spans="1:12" ht="13.5" customHeight="1">
      <c r="A459" s="94"/>
      <c r="B459" s="94"/>
      <c r="C459" s="94"/>
      <c r="D459" s="94"/>
      <c r="E459" s="282"/>
      <c r="F459" s="282"/>
      <c r="G459" s="94"/>
      <c r="H459" s="94"/>
      <c r="I459" s="94"/>
      <c r="J459" s="94"/>
      <c r="K459" s="94"/>
      <c r="L459" s="94"/>
    </row>
    <row r="460" spans="1:12" ht="13.5" customHeight="1">
      <c r="A460" s="94"/>
      <c r="B460" s="94"/>
      <c r="C460" s="94"/>
      <c r="D460" s="94"/>
      <c r="E460" s="282"/>
      <c r="F460" s="282"/>
      <c r="G460" s="94"/>
      <c r="H460" s="94"/>
      <c r="I460" s="94"/>
      <c r="J460" s="94"/>
      <c r="K460" s="94"/>
      <c r="L460" s="94"/>
    </row>
    <row r="461" spans="1:12" ht="13.5" customHeight="1">
      <c r="A461" s="94"/>
      <c r="B461" s="94"/>
      <c r="C461" s="94"/>
      <c r="D461" s="94"/>
      <c r="E461" s="282"/>
      <c r="F461" s="282"/>
      <c r="G461" s="94"/>
      <c r="H461" s="94"/>
      <c r="I461" s="94"/>
      <c r="J461" s="94"/>
      <c r="K461" s="94"/>
      <c r="L461" s="94"/>
    </row>
    <row r="462" spans="1:12" ht="13.5" customHeight="1">
      <c r="A462" s="94"/>
      <c r="B462" s="94"/>
      <c r="C462" s="94"/>
      <c r="D462" s="94"/>
      <c r="E462" s="282"/>
      <c r="F462" s="282"/>
      <c r="G462" s="94"/>
      <c r="H462" s="94"/>
      <c r="I462" s="94"/>
      <c r="J462" s="94"/>
      <c r="K462" s="94"/>
      <c r="L462" s="94"/>
    </row>
    <row r="463" spans="1:12" ht="13.5" customHeight="1">
      <c r="A463" s="94"/>
      <c r="B463" s="94"/>
      <c r="C463" s="94"/>
      <c r="D463" s="94"/>
      <c r="E463" s="282"/>
      <c r="F463" s="282"/>
      <c r="G463" s="94"/>
      <c r="H463" s="94"/>
      <c r="I463" s="94"/>
      <c r="J463" s="94"/>
      <c r="K463" s="94"/>
      <c r="L463" s="94"/>
    </row>
    <row r="464" spans="1:12" ht="13.5" customHeight="1">
      <c r="A464" s="94"/>
      <c r="B464" s="94"/>
      <c r="C464" s="94"/>
      <c r="D464" s="94"/>
      <c r="E464" s="282"/>
      <c r="F464" s="282"/>
      <c r="G464" s="94"/>
      <c r="H464" s="94"/>
      <c r="I464" s="94"/>
      <c r="J464" s="94"/>
      <c r="K464" s="94"/>
      <c r="L464" s="94"/>
    </row>
    <row r="465" spans="1:12" ht="13.5" customHeight="1">
      <c r="A465" s="94"/>
      <c r="B465" s="94"/>
      <c r="C465" s="94"/>
      <c r="D465" s="94"/>
      <c r="E465" s="282"/>
      <c r="F465" s="282"/>
      <c r="G465" s="94"/>
      <c r="H465" s="94"/>
      <c r="I465" s="94"/>
      <c r="J465" s="94"/>
      <c r="K465" s="94"/>
      <c r="L465" s="94"/>
    </row>
    <row r="466" spans="1:12" ht="13.5" customHeight="1">
      <c r="A466" s="94"/>
      <c r="B466" s="94"/>
      <c r="C466" s="94"/>
      <c r="D466" s="94"/>
      <c r="E466" s="282"/>
      <c r="F466" s="282"/>
      <c r="G466" s="94"/>
      <c r="H466" s="94"/>
      <c r="I466" s="94"/>
      <c r="J466" s="94"/>
      <c r="K466" s="94"/>
      <c r="L466" s="94"/>
    </row>
    <row r="467" spans="1:12" ht="13.5" customHeight="1">
      <c r="A467" s="94"/>
      <c r="B467" s="94"/>
      <c r="C467" s="94"/>
      <c r="D467" s="94"/>
      <c r="E467" s="282"/>
      <c r="F467" s="282"/>
      <c r="G467" s="94"/>
      <c r="H467" s="94"/>
      <c r="I467" s="94"/>
      <c r="J467" s="94"/>
      <c r="K467" s="94"/>
      <c r="L467" s="94"/>
    </row>
    <row r="468" spans="1:12" ht="13.5" customHeight="1">
      <c r="A468" s="94"/>
      <c r="B468" s="94"/>
      <c r="C468" s="94"/>
      <c r="D468" s="94"/>
      <c r="E468" s="282"/>
      <c r="F468" s="282"/>
      <c r="G468" s="94"/>
      <c r="H468" s="94"/>
      <c r="I468" s="94"/>
      <c r="J468" s="94"/>
      <c r="K468" s="94"/>
      <c r="L468" s="94"/>
    </row>
    <row r="469" spans="1:12" ht="13.5" customHeight="1">
      <c r="A469" s="94"/>
      <c r="B469" s="94"/>
      <c r="C469" s="94"/>
      <c r="D469" s="94"/>
      <c r="E469" s="282"/>
      <c r="F469" s="282"/>
      <c r="G469" s="94"/>
      <c r="H469" s="94"/>
      <c r="I469" s="94"/>
      <c r="J469" s="94"/>
      <c r="K469" s="94"/>
      <c r="L469" s="94"/>
    </row>
    <row r="470" spans="1:12" ht="13.5" customHeight="1">
      <c r="A470" s="94"/>
      <c r="B470" s="94"/>
      <c r="C470" s="94"/>
      <c r="D470" s="94"/>
      <c r="E470" s="282"/>
      <c r="F470" s="282"/>
      <c r="G470" s="94"/>
      <c r="H470" s="94"/>
      <c r="I470" s="94"/>
      <c r="J470" s="94"/>
      <c r="K470" s="94"/>
      <c r="L470" s="94"/>
    </row>
    <row r="471" spans="1:12" ht="13.5" customHeight="1">
      <c r="A471" s="94"/>
      <c r="B471" s="94"/>
      <c r="C471" s="94"/>
      <c r="D471" s="94"/>
      <c r="E471" s="282"/>
      <c r="F471" s="282"/>
      <c r="G471" s="94"/>
      <c r="H471" s="94"/>
      <c r="I471" s="94"/>
      <c r="J471" s="94"/>
      <c r="K471" s="94"/>
      <c r="L471" s="94"/>
    </row>
    <row r="472" spans="1:12" ht="13.5" customHeight="1">
      <c r="A472" s="94"/>
      <c r="B472" s="94"/>
      <c r="C472" s="94"/>
      <c r="D472" s="94"/>
      <c r="E472" s="282"/>
      <c r="F472" s="282"/>
      <c r="G472" s="94"/>
      <c r="H472" s="94"/>
      <c r="I472" s="94"/>
      <c r="J472" s="94"/>
      <c r="K472" s="94"/>
      <c r="L472" s="94"/>
    </row>
    <row r="473" spans="1:12" ht="13.5" customHeight="1">
      <c r="A473" s="94"/>
      <c r="B473" s="94"/>
      <c r="C473" s="94"/>
      <c r="D473" s="94"/>
      <c r="E473" s="282"/>
      <c r="F473" s="282"/>
      <c r="G473" s="94"/>
      <c r="H473" s="94"/>
      <c r="I473" s="94"/>
      <c r="J473" s="94"/>
      <c r="K473" s="94"/>
      <c r="L473" s="94"/>
    </row>
    <row r="474" spans="1:12" ht="13.5" customHeight="1">
      <c r="A474" s="94"/>
      <c r="B474" s="94"/>
      <c r="C474" s="94"/>
      <c r="D474" s="94"/>
      <c r="E474" s="282"/>
      <c r="F474" s="282"/>
      <c r="G474" s="94"/>
      <c r="H474" s="94"/>
      <c r="I474" s="94"/>
      <c r="J474" s="94"/>
      <c r="K474" s="94"/>
      <c r="L474" s="94"/>
    </row>
    <row r="475" spans="1:12" ht="13.5" customHeight="1">
      <c r="A475" s="94"/>
      <c r="B475" s="94"/>
      <c r="C475" s="94"/>
      <c r="D475" s="94"/>
      <c r="E475" s="282"/>
      <c r="F475" s="282"/>
      <c r="G475" s="94"/>
      <c r="H475" s="94"/>
      <c r="I475" s="94"/>
      <c r="J475" s="94"/>
      <c r="K475" s="94"/>
      <c r="L475" s="94"/>
    </row>
    <row r="476" spans="1:12" ht="13.5" customHeight="1">
      <c r="A476" s="94"/>
      <c r="B476" s="94"/>
      <c r="C476" s="94"/>
      <c r="D476" s="94"/>
      <c r="E476" s="282"/>
      <c r="F476" s="282"/>
      <c r="G476" s="94"/>
      <c r="H476" s="94"/>
      <c r="I476" s="94"/>
      <c r="J476" s="94"/>
      <c r="K476" s="94"/>
      <c r="L476" s="94"/>
    </row>
    <row r="477" spans="1:12" ht="13.5" customHeight="1">
      <c r="A477" s="94"/>
      <c r="B477" s="94"/>
      <c r="C477" s="94"/>
      <c r="D477" s="94"/>
      <c r="E477" s="282"/>
      <c r="F477" s="282"/>
      <c r="G477" s="94"/>
      <c r="H477" s="94"/>
      <c r="I477" s="94"/>
      <c r="J477" s="94"/>
      <c r="K477" s="94"/>
      <c r="L477" s="94"/>
    </row>
    <row r="478" spans="1:12" ht="13.5" customHeight="1">
      <c r="A478" s="94"/>
      <c r="B478" s="94"/>
      <c r="C478" s="94"/>
      <c r="D478" s="94"/>
      <c r="E478" s="282"/>
      <c r="F478" s="282"/>
      <c r="G478" s="94"/>
      <c r="H478" s="94"/>
      <c r="I478" s="94"/>
      <c r="J478" s="94"/>
      <c r="K478" s="94"/>
      <c r="L478" s="94"/>
    </row>
    <row r="479" spans="1:12" ht="13.5" customHeight="1">
      <c r="A479" s="94"/>
      <c r="B479" s="94"/>
      <c r="C479" s="94"/>
      <c r="D479" s="94"/>
      <c r="E479" s="282"/>
      <c r="F479" s="282"/>
      <c r="G479" s="94"/>
      <c r="H479" s="94"/>
      <c r="I479" s="94"/>
      <c r="J479" s="94"/>
      <c r="K479" s="94"/>
      <c r="L479" s="94"/>
    </row>
    <row r="480" spans="1:12" ht="13.5" customHeight="1">
      <c r="A480" s="94"/>
      <c r="B480" s="94"/>
      <c r="C480" s="94"/>
      <c r="D480" s="94"/>
      <c r="E480" s="282"/>
      <c r="F480" s="282"/>
      <c r="G480" s="94"/>
      <c r="H480" s="94"/>
      <c r="I480" s="94"/>
      <c r="J480" s="94"/>
      <c r="K480" s="94"/>
      <c r="L480" s="94"/>
    </row>
    <row r="481" spans="1:12" ht="13.5" customHeight="1">
      <c r="A481" s="94"/>
      <c r="B481" s="94"/>
      <c r="C481" s="94"/>
      <c r="D481" s="94"/>
      <c r="E481" s="282"/>
      <c r="F481" s="282"/>
      <c r="G481" s="94"/>
      <c r="H481" s="94"/>
      <c r="I481" s="94"/>
      <c r="J481" s="94"/>
      <c r="K481" s="94"/>
      <c r="L481" s="94"/>
    </row>
    <row r="482" spans="1:12" ht="13.5" customHeight="1">
      <c r="A482" s="94"/>
      <c r="B482" s="94"/>
      <c r="C482" s="94"/>
      <c r="D482" s="94"/>
      <c r="E482" s="282"/>
      <c r="F482" s="282"/>
      <c r="G482" s="94"/>
      <c r="H482" s="94"/>
      <c r="I482" s="94"/>
      <c r="J482" s="94"/>
      <c r="K482" s="94"/>
      <c r="L482" s="94"/>
    </row>
    <row r="483" spans="1:12" ht="13.5" customHeight="1">
      <c r="A483" s="94"/>
      <c r="B483" s="94"/>
      <c r="C483" s="94"/>
      <c r="D483" s="94"/>
      <c r="E483" s="282"/>
      <c r="F483" s="282"/>
      <c r="G483" s="94"/>
      <c r="H483" s="94"/>
      <c r="I483" s="94"/>
      <c r="J483" s="94"/>
      <c r="K483" s="94"/>
      <c r="L483" s="94"/>
    </row>
    <row r="484" spans="1:12" ht="13.5" customHeight="1">
      <c r="A484" s="94"/>
      <c r="B484" s="94"/>
      <c r="C484" s="94"/>
      <c r="D484" s="94"/>
      <c r="E484" s="282"/>
      <c r="F484" s="282"/>
      <c r="G484" s="94"/>
      <c r="H484" s="94"/>
      <c r="I484" s="94"/>
      <c r="J484" s="94"/>
      <c r="K484" s="94"/>
      <c r="L484" s="94"/>
    </row>
    <row r="485" spans="1:12" ht="13.5" customHeight="1">
      <c r="A485" s="94"/>
      <c r="B485" s="94"/>
      <c r="C485" s="94"/>
      <c r="D485" s="94"/>
      <c r="E485" s="282"/>
      <c r="F485" s="282"/>
      <c r="G485" s="94"/>
      <c r="H485" s="94"/>
      <c r="I485" s="94"/>
      <c r="J485" s="94"/>
      <c r="K485" s="94"/>
      <c r="L485" s="94"/>
    </row>
    <row r="486" spans="1:12" ht="13.5" customHeight="1">
      <c r="A486" s="94"/>
      <c r="B486" s="94"/>
      <c r="C486" s="94"/>
      <c r="D486" s="94"/>
      <c r="E486" s="282"/>
      <c r="F486" s="282"/>
      <c r="G486" s="94"/>
      <c r="H486" s="94"/>
      <c r="I486" s="94"/>
      <c r="J486" s="94"/>
      <c r="K486" s="94"/>
      <c r="L486" s="94"/>
    </row>
    <row r="487" spans="1:12" ht="13.5" customHeight="1">
      <c r="A487" s="94"/>
      <c r="B487" s="94"/>
      <c r="C487" s="94"/>
      <c r="D487" s="94"/>
      <c r="E487" s="282"/>
      <c r="F487" s="282"/>
      <c r="G487" s="94"/>
      <c r="H487" s="94"/>
      <c r="I487" s="94"/>
      <c r="J487" s="94"/>
      <c r="K487" s="94"/>
      <c r="L487" s="94"/>
    </row>
    <row r="488" spans="1:12" ht="13.5" customHeight="1">
      <c r="A488" s="94"/>
      <c r="B488" s="94"/>
      <c r="C488" s="94"/>
      <c r="D488" s="94"/>
      <c r="E488" s="282"/>
      <c r="F488" s="282"/>
      <c r="G488" s="94"/>
      <c r="H488" s="94"/>
      <c r="I488" s="94"/>
      <c r="J488" s="94"/>
      <c r="K488" s="94"/>
      <c r="L488" s="94"/>
    </row>
    <row r="489" spans="1:12" ht="13.5" customHeight="1">
      <c r="A489" s="94"/>
      <c r="B489" s="94"/>
      <c r="C489" s="94"/>
      <c r="D489" s="94"/>
      <c r="E489" s="282"/>
      <c r="F489" s="282"/>
      <c r="G489" s="94"/>
      <c r="H489" s="94"/>
      <c r="I489" s="94"/>
      <c r="J489" s="94"/>
      <c r="K489" s="94"/>
      <c r="L489" s="94"/>
    </row>
    <row r="490" spans="1:12" ht="13.5" customHeight="1">
      <c r="A490" s="94"/>
      <c r="B490" s="94"/>
      <c r="C490" s="94"/>
      <c r="D490" s="94"/>
      <c r="E490" s="282"/>
      <c r="F490" s="282"/>
      <c r="G490" s="94"/>
      <c r="H490" s="94"/>
      <c r="I490" s="94"/>
      <c r="J490" s="94"/>
      <c r="K490" s="94"/>
      <c r="L490" s="94"/>
    </row>
    <row r="491" spans="1:12" ht="13.5" customHeight="1">
      <c r="A491" s="94"/>
      <c r="B491" s="94"/>
      <c r="C491" s="94"/>
      <c r="D491" s="94"/>
      <c r="E491" s="282"/>
      <c r="F491" s="282"/>
      <c r="G491" s="94"/>
      <c r="H491" s="94"/>
      <c r="I491" s="94"/>
      <c r="J491" s="94"/>
      <c r="K491" s="94"/>
      <c r="L491" s="94"/>
    </row>
    <row r="492" spans="1:12" ht="13.5" customHeight="1">
      <c r="A492" s="94"/>
      <c r="B492" s="94"/>
      <c r="C492" s="94"/>
      <c r="D492" s="94"/>
      <c r="E492" s="282"/>
      <c r="F492" s="282"/>
      <c r="G492" s="94"/>
      <c r="H492" s="94"/>
      <c r="I492" s="94"/>
      <c r="J492" s="94"/>
      <c r="K492" s="94"/>
      <c r="L492" s="94"/>
    </row>
    <row r="493" spans="1:12" ht="13.5" customHeight="1">
      <c r="A493" s="94"/>
      <c r="B493" s="94"/>
      <c r="C493" s="94"/>
      <c r="D493" s="94"/>
      <c r="E493" s="282"/>
      <c r="F493" s="282"/>
      <c r="G493" s="94"/>
      <c r="H493" s="94"/>
      <c r="I493" s="94"/>
      <c r="J493" s="94"/>
      <c r="K493" s="94"/>
      <c r="L493" s="94"/>
    </row>
    <row r="494" spans="1:12" ht="13.5" customHeight="1">
      <c r="A494" s="94"/>
      <c r="B494" s="94"/>
      <c r="C494" s="94"/>
      <c r="D494" s="94"/>
      <c r="E494" s="282"/>
      <c r="F494" s="282"/>
      <c r="G494" s="94"/>
      <c r="H494" s="94"/>
      <c r="I494" s="94"/>
      <c r="J494" s="94"/>
      <c r="K494" s="94"/>
      <c r="L494" s="94"/>
    </row>
    <row r="495" spans="1:12" ht="13.5" customHeight="1">
      <c r="A495" s="94"/>
      <c r="B495" s="94"/>
      <c r="C495" s="94"/>
      <c r="D495" s="94"/>
      <c r="E495" s="282"/>
      <c r="F495" s="282"/>
      <c r="G495" s="94"/>
      <c r="H495" s="94"/>
      <c r="I495" s="94"/>
      <c r="J495" s="94"/>
      <c r="K495" s="94"/>
      <c r="L495" s="94"/>
    </row>
    <row r="496" spans="1:12" ht="13.5" customHeight="1">
      <c r="A496" s="94"/>
      <c r="B496" s="94"/>
      <c r="C496" s="94"/>
      <c r="D496" s="94"/>
      <c r="E496" s="282"/>
      <c r="F496" s="282"/>
      <c r="G496" s="94"/>
      <c r="H496" s="94"/>
      <c r="I496" s="94"/>
      <c r="J496" s="94"/>
      <c r="K496" s="94"/>
      <c r="L496" s="94"/>
    </row>
    <row r="497" spans="1:12" ht="13.5" customHeight="1">
      <c r="A497" s="94"/>
      <c r="B497" s="94"/>
      <c r="C497" s="94"/>
      <c r="D497" s="94"/>
      <c r="E497" s="282"/>
      <c r="F497" s="282"/>
      <c r="G497" s="94"/>
      <c r="H497" s="94"/>
      <c r="I497" s="94"/>
      <c r="J497" s="94"/>
      <c r="K497" s="94"/>
      <c r="L497" s="94"/>
    </row>
    <row r="498" spans="1:12" ht="13.5" customHeight="1">
      <c r="A498" s="94"/>
      <c r="B498" s="94"/>
      <c r="C498" s="94"/>
      <c r="D498" s="94"/>
      <c r="E498" s="282"/>
      <c r="F498" s="282"/>
      <c r="G498" s="94"/>
      <c r="H498" s="94"/>
      <c r="I498" s="94"/>
      <c r="J498" s="94"/>
      <c r="K498" s="94"/>
      <c r="L498" s="94"/>
    </row>
    <row r="499" spans="1:12" ht="13.5" customHeight="1">
      <c r="A499" s="94"/>
      <c r="B499" s="94"/>
      <c r="C499" s="94"/>
      <c r="D499" s="94"/>
      <c r="E499" s="282"/>
      <c r="F499" s="282"/>
      <c r="G499" s="94"/>
      <c r="H499" s="94"/>
      <c r="I499" s="94"/>
      <c r="J499" s="94"/>
      <c r="K499" s="94"/>
      <c r="L499" s="94"/>
    </row>
    <row r="500" spans="1:12" ht="13.5" customHeight="1">
      <c r="A500" s="94"/>
      <c r="B500" s="94"/>
      <c r="C500" s="94"/>
      <c r="D500" s="94"/>
      <c r="E500" s="282"/>
      <c r="F500" s="282"/>
      <c r="G500" s="94"/>
      <c r="H500" s="94"/>
      <c r="I500" s="94"/>
      <c r="J500" s="94"/>
      <c r="K500" s="94"/>
      <c r="L500" s="94"/>
    </row>
    <row r="501" spans="1:12" ht="13.5" customHeight="1">
      <c r="A501" s="94"/>
      <c r="B501" s="94"/>
      <c r="C501" s="94"/>
      <c r="D501" s="94"/>
      <c r="E501" s="282"/>
      <c r="F501" s="282"/>
      <c r="G501" s="94"/>
      <c r="H501" s="94"/>
      <c r="I501" s="94"/>
      <c r="J501" s="94"/>
      <c r="K501" s="94"/>
      <c r="L501" s="94"/>
    </row>
    <row r="502" spans="1:12" ht="13.5" customHeight="1">
      <c r="A502" s="94"/>
      <c r="B502" s="94"/>
      <c r="C502" s="94"/>
      <c r="D502" s="94"/>
      <c r="E502" s="282"/>
      <c r="F502" s="282"/>
      <c r="G502" s="94"/>
      <c r="H502" s="94"/>
      <c r="I502" s="94"/>
      <c r="J502" s="94"/>
      <c r="K502" s="94"/>
      <c r="L502" s="94"/>
    </row>
    <row r="503" spans="1:12" ht="13.5" customHeight="1">
      <c r="A503" s="94"/>
      <c r="B503" s="94"/>
      <c r="C503" s="94"/>
      <c r="D503" s="94"/>
      <c r="E503" s="282"/>
      <c r="F503" s="282"/>
      <c r="G503" s="94"/>
      <c r="H503" s="94"/>
      <c r="I503" s="94"/>
      <c r="J503" s="94"/>
      <c r="K503" s="94"/>
      <c r="L503" s="94"/>
    </row>
    <row r="504" spans="1:12" ht="13.5" customHeight="1">
      <c r="A504" s="94"/>
      <c r="B504" s="94"/>
      <c r="C504" s="94"/>
      <c r="D504" s="94"/>
      <c r="E504" s="282"/>
      <c r="F504" s="282"/>
      <c r="G504" s="94"/>
      <c r="H504" s="94"/>
      <c r="I504" s="94"/>
      <c r="J504" s="94"/>
      <c r="K504" s="94"/>
      <c r="L504" s="94"/>
    </row>
    <row r="505" spans="1:12" ht="13.5" customHeight="1">
      <c r="A505" s="94"/>
      <c r="B505" s="94"/>
      <c r="C505" s="94"/>
      <c r="D505" s="94"/>
      <c r="E505" s="282"/>
      <c r="F505" s="282"/>
      <c r="G505" s="94"/>
      <c r="H505" s="94"/>
      <c r="I505" s="94"/>
      <c r="J505" s="94"/>
      <c r="K505" s="94"/>
      <c r="L505" s="94"/>
    </row>
    <row r="506" spans="1:12" ht="13.5" customHeight="1">
      <c r="A506" s="94"/>
      <c r="B506" s="94"/>
      <c r="C506" s="94"/>
      <c r="D506" s="94"/>
      <c r="E506" s="282"/>
      <c r="F506" s="282"/>
      <c r="G506" s="94"/>
      <c r="H506" s="94"/>
      <c r="I506" s="94"/>
      <c r="J506" s="94"/>
      <c r="K506" s="94"/>
      <c r="L506" s="94"/>
    </row>
    <row r="507" spans="1:12" ht="13.5" customHeight="1">
      <c r="A507" s="94"/>
      <c r="B507" s="94"/>
      <c r="C507" s="94"/>
      <c r="D507" s="94"/>
      <c r="E507" s="282"/>
      <c r="F507" s="282"/>
      <c r="G507" s="94"/>
      <c r="H507" s="94"/>
      <c r="I507" s="94"/>
      <c r="J507" s="94"/>
      <c r="K507" s="94"/>
      <c r="L507" s="94"/>
    </row>
    <row r="508" spans="1:12" ht="13.5" customHeight="1">
      <c r="A508" s="94"/>
      <c r="B508" s="94"/>
      <c r="C508" s="94"/>
      <c r="D508" s="94"/>
      <c r="E508" s="282"/>
      <c r="F508" s="282"/>
      <c r="G508" s="94"/>
      <c r="H508" s="94"/>
      <c r="I508" s="94"/>
      <c r="J508" s="94"/>
      <c r="K508" s="94"/>
      <c r="L508" s="94"/>
    </row>
    <row r="509" spans="1:12" ht="13.5" customHeight="1">
      <c r="A509" s="94"/>
      <c r="B509" s="94"/>
      <c r="C509" s="94"/>
      <c r="D509" s="94"/>
      <c r="E509" s="282"/>
      <c r="F509" s="282"/>
      <c r="G509" s="94"/>
      <c r="H509" s="94"/>
      <c r="I509" s="94"/>
      <c r="J509" s="94"/>
      <c r="K509" s="94"/>
      <c r="L509" s="94"/>
    </row>
    <row r="510" spans="1:12" ht="13.5" customHeight="1">
      <c r="A510" s="94"/>
      <c r="B510" s="94"/>
      <c r="C510" s="94"/>
      <c r="D510" s="94"/>
      <c r="E510" s="282"/>
      <c r="F510" s="282"/>
      <c r="G510" s="94"/>
      <c r="H510" s="94"/>
      <c r="I510" s="94"/>
      <c r="J510" s="94"/>
      <c r="K510" s="94"/>
      <c r="L510" s="94"/>
    </row>
    <row r="511" spans="1:12" ht="13.5" customHeight="1">
      <c r="A511" s="94"/>
      <c r="B511" s="94"/>
      <c r="C511" s="94"/>
      <c r="D511" s="94"/>
      <c r="E511" s="282"/>
      <c r="F511" s="282"/>
      <c r="G511" s="94"/>
      <c r="H511" s="94"/>
      <c r="I511" s="94"/>
      <c r="J511" s="94"/>
      <c r="K511" s="94"/>
      <c r="L511" s="94"/>
    </row>
    <row r="512" spans="1:12" ht="13.5" customHeight="1">
      <c r="A512" s="94"/>
      <c r="B512" s="94"/>
      <c r="C512" s="94"/>
      <c r="D512" s="94"/>
      <c r="E512" s="282"/>
      <c r="F512" s="282"/>
      <c r="G512" s="94"/>
      <c r="H512" s="94"/>
      <c r="I512" s="94"/>
      <c r="J512" s="94"/>
      <c r="K512" s="94"/>
      <c r="L512" s="94"/>
    </row>
    <row r="513" spans="1:12" ht="13.5" customHeight="1">
      <c r="A513" s="94"/>
      <c r="B513" s="94"/>
      <c r="C513" s="94"/>
      <c r="D513" s="94"/>
      <c r="E513" s="282"/>
      <c r="F513" s="282"/>
      <c r="G513" s="94"/>
      <c r="H513" s="94"/>
      <c r="I513" s="94"/>
      <c r="J513" s="94"/>
      <c r="K513" s="94"/>
      <c r="L513" s="94"/>
    </row>
    <row r="514" spans="1:12" ht="13.5" customHeight="1">
      <c r="A514" s="94"/>
      <c r="B514" s="94"/>
      <c r="C514" s="94"/>
      <c r="D514" s="94"/>
      <c r="E514" s="282"/>
      <c r="F514" s="282"/>
      <c r="G514" s="94"/>
      <c r="H514" s="94"/>
      <c r="I514" s="94"/>
      <c r="J514" s="94"/>
      <c r="K514" s="94"/>
      <c r="L514" s="94"/>
    </row>
    <row r="515" spans="1:12" ht="13.5" customHeight="1">
      <c r="A515" s="94"/>
      <c r="B515" s="94"/>
      <c r="C515" s="94"/>
      <c r="D515" s="94"/>
      <c r="E515" s="282"/>
      <c r="F515" s="282"/>
      <c r="G515" s="94"/>
      <c r="H515" s="94"/>
      <c r="I515" s="94"/>
      <c r="J515" s="94"/>
      <c r="K515" s="94"/>
      <c r="L515" s="94"/>
    </row>
    <row r="516" spans="1:12" ht="13.5" customHeight="1">
      <c r="A516" s="94"/>
      <c r="B516" s="94"/>
      <c r="C516" s="94"/>
      <c r="D516" s="94"/>
      <c r="E516" s="282"/>
      <c r="F516" s="282"/>
      <c r="G516" s="94"/>
      <c r="H516" s="94"/>
      <c r="I516" s="94"/>
      <c r="J516" s="94"/>
      <c r="K516" s="94"/>
      <c r="L516" s="94"/>
    </row>
    <row r="517" spans="1:12" ht="13.5" customHeight="1">
      <c r="A517" s="94"/>
      <c r="B517" s="94"/>
      <c r="C517" s="94"/>
      <c r="D517" s="94"/>
      <c r="E517" s="282"/>
      <c r="F517" s="282"/>
      <c r="G517" s="94"/>
      <c r="H517" s="94"/>
      <c r="I517" s="94"/>
      <c r="J517" s="94"/>
      <c r="K517" s="94"/>
      <c r="L517" s="94"/>
    </row>
    <row r="518" spans="1:12" ht="13.5" customHeight="1">
      <c r="A518" s="94"/>
      <c r="B518" s="94"/>
      <c r="C518" s="94"/>
      <c r="D518" s="94"/>
      <c r="E518" s="282"/>
      <c r="F518" s="282"/>
      <c r="G518" s="94"/>
      <c r="H518" s="94"/>
      <c r="I518" s="94"/>
      <c r="J518" s="94"/>
      <c r="K518" s="94"/>
      <c r="L518" s="94"/>
    </row>
    <row r="519" spans="1:12" ht="13.5" customHeight="1">
      <c r="A519" s="94"/>
      <c r="B519" s="94"/>
      <c r="C519" s="94"/>
      <c r="D519" s="94"/>
      <c r="E519" s="282"/>
      <c r="F519" s="282"/>
      <c r="G519" s="94"/>
      <c r="H519" s="94"/>
      <c r="I519" s="94"/>
      <c r="J519" s="94"/>
      <c r="K519" s="94"/>
      <c r="L519" s="94"/>
    </row>
    <row r="520" spans="1:12" ht="13.5" customHeight="1">
      <c r="A520" s="94"/>
      <c r="B520" s="94"/>
      <c r="C520" s="94"/>
      <c r="D520" s="94"/>
      <c r="E520" s="282"/>
      <c r="F520" s="282"/>
      <c r="G520" s="94"/>
      <c r="H520" s="94"/>
      <c r="I520" s="94"/>
      <c r="J520" s="94"/>
      <c r="K520" s="94"/>
      <c r="L520" s="94"/>
    </row>
    <row r="521" spans="1:12" ht="13.5" customHeight="1">
      <c r="A521" s="94"/>
      <c r="B521" s="94"/>
      <c r="C521" s="94"/>
      <c r="D521" s="94"/>
      <c r="E521" s="282"/>
      <c r="F521" s="282"/>
      <c r="G521" s="94"/>
      <c r="H521" s="94"/>
      <c r="I521" s="94"/>
      <c r="J521" s="94"/>
      <c r="K521" s="94"/>
      <c r="L521" s="94"/>
    </row>
    <row r="522" spans="1:12" ht="13.5" customHeight="1">
      <c r="A522" s="94"/>
      <c r="B522" s="94"/>
      <c r="C522" s="94"/>
      <c r="D522" s="94"/>
      <c r="E522" s="282"/>
      <c r="F522" s="282"/>
      <c r="G522" s="94"/>
      <c r="H522" s="94"/>
      <c r="I522" s="94"/>
      <c r="J522" s="94"/>
      <c r="K522" s="94"/>
      <c r="L522" s="94"/>
    </row>
    <row r="523" spans="1:12" ht="13.5" customHeight="1">
      <c r="A523" s="94"/>
      <c r="B523" s="94"/>
      <c r="C523" s="94"/>
      <c r="D523" s="94"/>
      <c r="E523" s="282"/>
      <c r="F523" s="282"/>
      <c r="G523" s="94"/>
      <c r="H523" s="94"/>
      <c r="I523" s="94"/>
      <c r="J523" s="94"/>
      <c r="K523" s="94"/>
      <c r="L523" s="94"/>
    </row>
    <row r="524" spans="1:12" ht="13.5" customHeight="1">
      <c r="A524" s="94"/>
      <c r="B524" s="94"/>
      <c r="C524" s="94"/>
      <c r="D524" s="94"/>
      <c r="E524" s="282"/>
      <c r="F524" s="282"/>
      <c r="G524" s="94"/>
      <c r="H524" s="94"/>
      <c r="I524" s="94"/>
      <c r="J524" s="94"/>
      <c r="K524" s="94"/>
      <c r="L524" s="94"/>
    </row>
    <row r="525" spans="1:12" ht="13.5" customHeight="1">
      <c r="A525" s="94"/>
      <c r="B525" s="94"/>
      <c r="C525" s="94"/>
      <c r="D525" s="94"/>
      <c r="E525" s="282"/>
      <c r="F525" s="282"/>
      <c r="G525" s="94"/>
      <c r="H525" s="94"/>
      <c r="I525" s="94"/>
      <c r="J525" s="94"/>
      <c r="K525" s="94"/>
      <c r="L525" s="94"/>
    </row>
    <row r="526" spans="1:12" ht="13.5" customHeight="1">
      <c r="A526" s="94"/>
      <c r="B526" s="94"/>
      <c r="C526" s="94"/>
      <c r="D526" s="94"/>
      <c r="E526" s="282"/>
      <c r="F526" s="282"/>
      <c r="G526" s="94"/>
      <c r="H526" s="94"/>
      <c r="I526" s="94"/>
      <c r="J526" s="94"/>
      <c r="K526" s="94"/>
      <c r="L526" s="94"/>
    </row>
    <row r="527" spans="1:12" ht="13.5" customHeight="1">
      <c r="A527" s="94"/>
      <c r="B527" s="94"/>
      <c r="C527" s="94"/>
      <c r="D527" s="94"/>
      <c r="E527" s="282"/>
      <c r="F527" s="282"/>
      <c r="G527" s="94"/>
      <c r="H527" s="94"/>
      <c r="I527" s="94"/>
      <c r="J527" s="94"/>
      <c r="K527" s="94"/>
      <c r="L527" s="94"/>
    </row>
    <row r="528" spans="1:12" ht="13.5" customHeight="1">
      <c r="A528" s="94"/>
      <c r="B528" s="94"/>
      <c r="C528" s="94"/>
      <c r="D528" s="94"/>
      <c r="E528" s="282"/>
      <c r="F528" s="282"/>
      <c r="G528" s="94"/>
      <c r="H528" s="94"/>
      <c r="I528" s="94"/>
      <c r="J528" s="94"/>
      <c r="K528" s="94"/>
      <c r="L528" s="94"/>
    </row>
    <row r="529" spans="1:12" ht="13.5" customHeight="1">
      <c r="A529" s="94"/>
      <c r="B529" s="94"/>
      <c r="C529" s="94"/>
      <c r="D529" s="94"/>
      <c r="E529" s="282"/>
      <c r="F529" s="282"/>
      <c r="G529" s="94"/>
      <c r="H529" s="94"/>
      <c r="I529" s="94"/>
      <c r="J529" s="94"/>
      <c r="K529" s="94"/>
      <c r="L529" s="94"/>
    </row>
    <row r="530" spans="1:12" ht="13.5" customHeight="1">
      <c r="A530" s="94"/>
      <c r="B530" s="94"/>
      <c r="C530" s="94"/>
      <c r="D530" s="94"/>
      <c r="E530" s="282"/>
      <c r="F530" s="282"/>
      <c r="G530" s="94"/>
      <c r="H530" s="94"/>
      <c r="I530" s="94"/>
      <c r="J530" s="94"/>
      <c r="K530" s="94"/>
      <c r="L530" s="94"/>
    </row>
    <row r="531" spans="1:12" ht="13.5" customHeight="1">
      <c r="A531" s="94"/>
      <c r="B531" s="94"/>
      <c r="C531" s="94"/>
      <c r="D531" s="94"/>
      <c r="E531" s="282"/>
      <c r="F531" s="282"/>
      <c r="G531" s="94"/>
      <c r="H531" s="94"/>
      <c r="I531" s="94"/>
      <c r="J531" s="94"/>
      <c r="K531" s="94"/>
      <c r="L531" s="94"/>
    </row>
    <row r="532" spans="1:12" ht="13.5" customHeight="1">
      <c r="A532" s="94"/>
      <c r="B532" s="94"/>
      <c r="C532" s="94"/>
      <c r="D532" s="94"/>
      <c r="E532" s="282"/>
      <c r="F532" s="282"/>
      <c r="G532" s="94"/>
      <c r="H532" s="94"/>
      <c r="I532" s="94"/>
      <c r="J532" s="94"/>
      <c r="K532" s="94"/>
      <c r="L532" s="94"/>
    </row>
    <row r="533" spans="1:12" ht="13.5" customHeight="1">
      <c r="A533" s="94"/>
      <c r="B533" s="94"/>
      <c r="C533" s="94"/>
      <c r="D533" s="94"/>
      <c r="E533" s="282"/>
      <c r="F533" s="282"/>
      <c r="G533" s="94"/>
      <c r="H533" s="94"/>
      <c r="I533" s="94"/>
      <c r="J533" s="94"/>
      <c r="K533" s="94"/>
      <c r="L533" s="94"/>
    </row>
    <row r="534" spans="1:12" ht="13.5" customHeight="1">
      <c r="A534" s="94"/>
      <c r="B534" s="94"/>
      <c r="C534" s="94"/>
      <c r="D534" s="94"/>
      <c r="E534" s="282"/>
      <c r="F534" s="282"/>
      <c r="G534" s="94"/>
      <c r="H534" s="94"/>
      <c r="I534" s="94"/>
      <c r="J534" s="94"/>
      <c r="K534" s="94"/>
      <c r="L534" s="94"/>
    </row>
    <row r="535" spans="1:12" ht="13.5" customHeight="1">
      <c r="A535" s="94"/>
      <c r="B535" s="94"/>
      <c r="C535" s="94"/>
      <c r="D535" s="94"/>
      <c r="E535" s="282"/>
      <c r="F535" s="282"/>
      <c r="G535" s="94"/>
      <c r="H535" s="94"/>
      <c r="I535" s="94"/>
      <c r="J535" s="94"/>
      <c r="K535" s="94"/>
      <c r="L535" s="94"/>
    </row>
    <row r="536" spans="1:12" ht="13.5" customHeight="1">
      <c r="A536" s="94"/>
      <c r="B536" s="94"/>
      <c r="C536" s="94"/>
      <c r="D536" s="94"/>
      <c r="E536" s="282"/>
      <c r="F536" s="282"/>
      <c r="G536" s="94"/>
      <c r="H536" s="94"/>
      <c r="I536" s="94"/>
      <c r="J536" s="94"/>
      <c r="K536" s="94"/>
      <c r="L536" s="94"/>
    </row>
    <row r="537" spans="1:12" ht="13.5" customHeight="1">
      <c r="A537" s="94"/>
      <c r="B537" s="94"/>
      <c r="C537" s="94"/>
      <c r="D537" s="94"/>
      <c r="E537" s="282"/>
      <c r="F537" s="282"/>
      <c r="G537" s="94"/>
      <c r="H537" s="94"/>
      <c r="I537" s="94"/>
      <c r="J537" s="94"/>
      <c r="K537" s="94"/>
      <c r="L537" s="94"/>
    </row>
    <row r="538" spans="1:12" ht="13.5" customHeight="1">
      <c r="A538" s="94"/>
      <c r="B538" s="94"/>
      <c r="C538" s="94"/>
      <c r="D538" s="94"/>
      <c r="E538" s="282"/>
      <c r="F538" s="282"/>
      <c r="G538" s="94"/>
      <c r="H538" s="94"/>
      <c r="I538" s="94"/>
      <c r="J538" s="94"/>
      <c r="K538" s="94"/>
      <c r="L538" s="94"/>
    </row>
    <row r="539" spans="1:12" ht="13.5" customHeight="1">
      <c r="A539" s="94"/>
      <c r="B539" s="94"/>
      <c r="C539" s="94"/>
      <c r="D539" s="94"/>
      <c r="E539" s="282"/>
      <c r="F539" s="282"/>
      <c r="G539" s="94"/>
      <c r="H539" s="94"/>
      <c r="I539" s="94"/>
      <c r="J539" s="94"/>
      <c r="K539" s="94"/>
      <c r="L539" s="94"/>
    </row>
    <row r="540" spans="1:12" ht="13.5" customHeight="1">
      <c r="A540" s="94"/>
      <c r="B540" s="94"/>
      <c r="C540" s="94"/>
      <c r="D540" s="94"/>
      <c r="E540" s="282"/>
      <c r="F540" s="282"/>
      <c r="G540" s="94"/>
      <c r="H540" s="94"/>
      <c r="I540" s="94"/>
      <c r="J540" s="94"/>
      <c r="K540" s="94"/>
      <c r="L540" s="94"/>
    </row>
    <row r="541" spans="1:12" ht="13.5" customHeight="1">
      <c r="A541" s="94"/>
      <c r="B541" s="94"/>
      <c r="C541" s="94"/>
      <c r="D541" s="94"/>
      <c r="E541" s="282"/>
      <c r="F541" s="282"/>
      <c r="G541" s="94"/>
      <c r="H541" s="94"/>
      <c r="I541" s="94"/>
      <c r="J541" s="94"/>
      <c r="K541" s="94"/>
      <c r="L541" s="94"/>
    </row>
    <row r="542" spans="1:12" ht="13.5" customHeight="1">
      <c r="A542" s="94"/>
      <c r="B542" s="94"/>
      <c r="C542" s="94"/>
      <c r="D542" s="94"/>
      <c r="E542" s="282"/>
      <c r="F542" s="282"/>
      <c r="G542" s="94"/>
      <c r="H542" s="94"/>
      <c r="I542" s="94"/>
      <c r="J542" s="94"/>
      <c r="K542" s="94"/>
      <c r="L542" s="94"/>
    </row>
    <row r="543" spans="1:12" ht="13.5" customHeight="1">
      <c r="A543" s="94"/>
      <c r="B543" s="94"/>
      <c r="C543" s="94"/>
      <c r="D543" s="94"/>
      <c r="E543" s="282"/>
      <c r="F543" s="282"/>
      <c r="G543" s="94"/>
      <c r="H543" s="94"/>
      <c r="I543" s="94"/>
      <c r="J543" s="94"/>
      <c r="K543" s="94"/>
      <c r="L543" s="94"/>
    </row>
    <row r="544" spans="1:12" ht="13.5" customHeight="1">
      <c r="A544" s="94"/>
      <c r="B544" s="94"/>
      <c r="C544" s="94"/>
      <c r="D544" s="94"/>
      <c r="E544" s="282"/>
      <c r="F544" s="282"/>
      <c r="G544" s="94"/>
      <c r="H544" s="94"/>
      <c r="I544" s="94"/>
      <c r="J544" s="94"/>
      <c r="K544" s="94"/>
      <c r="L544" s="94"/>
    </row>
    <row r="545" spans="1:12" ht="13.5" customHeight="1">
      <c r="A545" s="94"/>
      <c r="B545" s="94"/>
      <c r="C545" s="94"/>
      <c r="D545" s="94"/>
      <c r="E545" s="282"/>
      <c r="F545" s="282"/>
      <c r="G545" s="94"/>
      <c r="H545" s="94"/>
      <c r="I545" s="94"/>
      <c r="J545" s="94"/>
      <c r="K545" s="94"/>
      <c r="L545" s="94"/>
    </row>
    <row r="546" spans="1:12" ht="13.5" customHeight="1">
      <c r="A546" s="94"/>
      <c r="B546" s="94"/>
      <c r="C546" s="94"/>
      <c r="D546" s="94"/>
      <c r="E546" s="282"/>
      <c r="F546" s="282"/>
      <c r="G546" s="94"/>
      <c r="H546" s="94"/>
      <c r="I546" s="94"/>
      <c r="J546" s="94"/>
      <c r="K546" s="94"/>
      <c r="L546" s="94"/>
    </row>
    <row r="547" spans="1:12" ht="13.5" customHeight="1">
      <c r="A547" s="94"/>
      <c r="B547" s="94"/>
      <c r="C547" s="94"/>
      <c r="D547" s="94"/>
      <c r="E547" s="282"/>
      <c r="F547" s="282"/>
      <c r="G547" s="94"/>
      <c r="H547" s="94"/>
      <c r="I547" s="94"/>
      <c r="J547" s="94"/>
      <c r="K547" s="94"/>
      <c r="L547" s="94"/>
    </row>
    <row r="548" spans="1:12" ht="13.5" customHeight="1">
      <c r="A548" s="94"/>
      <c r="B548" s="94"/>
      <c r="C548" s="94"/>
      <c r="D548" s="94"/>
      <c r="E548" s="282"/>
      <c r="F548" s="282"/>
      <c r="G548" s="94"/>
      <c r="H548" s="94"/>
      <c r="I548" s="94"/>
      <c r="J548" s="94"/>
      <c r="K548" s="94"/>
      <c r="L548" s="94"/>
    </row>
    <row r="549" spans="1:12" ht="13.5" customHeight="1">
      <c r="A549" s="94"/>
      <c r="B549" s="94"/>
      <c r="C549" s="94"/>
      <c r="D549" s="94"/>
      <c r="E549" s="282"/>
      <c r="F549" s="282"/>
      <c r="G549" s="94"/>
      <c r="H549" s="94"/>
      <c r="I549" s="94"/>
      <c r="J549" s="94"/>
      <c r="K549" s="94"/>
      <c r="L549" s="94"/>
    </row>
    <row r="550" spans="1:12" ht="13.5" customHeight="1">
      <c r="A550" s="94"/>
      <c r="B550" s="94"/>
      <c r="C550" s="94"/>
      <c r="D550" s="94"/>
      <c r="E550" s="282"/>
      <c r="F550" s="282"/>
      <c r="G550" s="94"/>
      <c r="H550" s="94"/>
      <c r="I550" s="94"/>
      <c r="J550" s="94"/>
      <c r="K550" s="94"/>
      <c r="L550" s="94"/>
    </row>
    <row r="551" spans="1:12" ht="13.5" customHeight="1">
      <c r="A551" s="94"/>
      <c r="B551" s="94"/>
      <c r="C551" s="94"/>
      <c r="D551" s="94"/>
      <c r="E551" s="282"/>
      <c r="F551" s="282"/>
      <c r="G551" s="94"/>
      <c r="H551" s="94"/>
      <c r="I551" s="94"/>
      <c r="J551" s="94"/>
      <c r="K551" s="94"/>
      <c r="L551" s="94"/>
    </row>
    <row r="552" spans="1:12" ht="13.5" customHeight="1">
      <c r="A552" s="94"/>
      <c r="B552" s="94"/>
      <c r="C552" s="94"/>
      <c r="D552" s="94"/>
      <c r="E552" s="282"/>
      <c r="F552" s="282"/>
      <c r="G552" s="94"/>
      <c r="H552" s="94"/>
      <c r="I552" s="94"/>
      <c r="J552" s="94"/>
      <c r="K552" s="94"/>
      <c r="L552" s="94"/>
    </row>
    <row r="553" spans="1:12" ht="13.5" customHeight="1">
      <c r="A553" s="94"/>
      <c r="B553" s="94"/>
      <c r="C553" s="94"/>
      <c r="D553" s="94"/>
      <c r="E553" s="282"/>
      <c r="F553" s="282"/>
      <c r="G553" s="94"/>
      <c r="H553" s="94"/>
      <c r="I553" s="94"/>
      <c r="J553" s="94"/>
      <c r="K553" s="94"/>
      <c r="L553" s="94"/>
    </row>
    <row r="554" spans="1:12" ht="13.5" customHeight="1">
      <c r="A554" s="94"/>
      <c r="B554" s="94"/>
      <c r="C554" s="94"/>
      <c r="D554" s="94"/>
      <c r="E554" s="282"/>
      <c r="F554" s="282"/>
      <c r="G554" s="94"/>
      <c r="H554" s="94"/>
      <c r="I554" s="94"/>
      <c r="J554" s="94"/>
      <c r="K554" s="94"/>
      <c r="L554" s="94"/>
    </row>
    <row r="555" spans="1:12" ht="13.5" customHeight="1">
      <c r="A555" s="94"/>
      <c r="B555" s="94"/>
      <c r="C555" s="94"/>
      <c r="D555" s="94"/>
      <c r="E555" s="282"/>
      <c r="F555" s="282"/>
      <c r="G555" s="94"/>
      <c r="H555" s="94"/>
      <c r="I555" s="94"/>
      <c r="J555" s="94"/>
      <c r="K555" s="94"/>
      <c r="L555" s="94"/>
    </row>
    <row r="556" spans="1:12" ht="13.5" customHeight="1">
      <c r="A556" s="94"/>
      <c r="B556" s="94"/>
      <c r="C556" s="94"/>
      <c r="D556" s="94"/>
      <c r="E556" s="282"/>
      <c r="F556" s="282"/>
      <c r="G556" s="94"/>
      <c r="H556" s="94"/>
      <c r="I556" s="94"/>
      <c r="J556" s="94"/>
      <c r="K556" s="94"/>
      <c r="L556" s="94"/>
    </row>
    <row r="557" spans="1:12" ht="13.5" customHeight="1">
      <c r="A557" s="94"/>
      <c r="B557" s="94"/>
      <c r="C557" s="94"/>
      <c r="D557" s="94"/>
      <c r="E557" s="282"/>
      <c r="F557" s="282"/>
      <c r="G557" s="94"/>
      <c r="H557" s="94"/>
      <c r="I557" s="94"/>
      <c r="J557" s="94"/>
      <c r="K557" s="94"/>
      <c r="L557" s="94"/>
    </row>
    <row r="558" spans="1:12" ht="13.5" customHeight="1">
      <c r="A558" s="94"/>
      <c r="B558" s="94"/>
      <c r="C558" s="94"/>
      <c r="D558" s="94"/>
      <c r="E558" s="282"/>
      <c r="F558" s="282"/>
      <c r="G558" s="94"/>
      <c r="H558" s="94"/>
      <c r="I558" s="94"/>
      <c r="J558" s="94"/>
      <c r="K558" s="94"/>
      <c r="L558" s="94"/>
    </row>
    <row r="559" spans="1:12" ht="13.5" customHeight="1">
      <c r="A559" s="94"/>
      <c r="B559" s="94"/>
      <c r="C559" s="94"/>
      <c r="D559" s="94"/>
      <c r="E559" s="282"/>
      <c r="F559" s="282"/>
      <c r="G559" s="94"/>
      <c r="H559" s="94"/>
      <c r="I559" s="94"/>
      <c r="J559" s="94"/>
      <c r="K559" s="94"/>
      <c r="L559" s="94"/>
    </row>
    <row r="560" spans="1:12" ht="13.5" customHeight="1">
      <c r="A560" s="94"/>
      <c r="B560" s="94"/>
      <c r="C560" s="94"/>
      <c r="D560" s="94"/>
      <c r="E560" s="282"/>
      <c r="F560" s="282"/>
      <c r="G560" s="94"/>
      <c r="H560" s="94"/>
      <c r="I560" s="94"/>
      <c r="J560" s="94"/>
      <c r="K560" s="94"/>
      <c r="L560" s="94"/>
    </row>
    <row r="561" spans="1:12" ht="13.5" customHeight="1">
      <c r="A561" s="94"/>
      <c r="B561" s="94"/>
      <c r="C561" s="94"/>
      <c r="D561" s="94"/>
      <c r="E561" s="282"/>
      <c r="F561" s="282"/>
      <c r="G561" s="94"/>
      <c r="H561" s="94"/>
      <c r="I561" s="94"/>
      <c r="J561" s="94"/>
      <c r="K561" s="94"/>
      <c r="L561" s="94"/>
    </row>
    <row r="562" spans="1:12" ht="13.5" customHeight="1">
      <c r="A562" s="94"/>
      <c r="B562" s="94"/>
      <c r="C562" s="94"/>
      <c r="D562" s="94"/>
      <c r="E562" s="282"/>
      <c r="F562" s="282"/>
      <c r="G562" s="94"/>
      <c r="H562" s="94"/>
      <c r="I562" s="94"/>
      <c r="J562" s="94"/>
      <c r="K562" s="94"/>
      <c r="L562" s="94"/>
    </row>
    <row r="563" spans="1:12" ht="13.5" customHeight="1">
      <c r="A563" s="94"/>
      <c r="B563" s="94"/>
      <c r="C563" s="94"/>
      <c r="D563" s="94"/>
      <c r="E563" s="282"/>
      <c r="F563" s="282"/>
      <c r="G563" s="94"/>
      <c r="H563" s="94"/>
      <c r="I563" s="94"/>
      <c r="J563" s="94"/>
      <c r="K563" s="94"/>
      <c r="L563" s="94"/>
    </row>
    <row r="564" spans="1:12" ht="13.5" customHeight="1">
      <c r="A564" s="94"/>
      <c r="B564" s="94"/>
      <c r="C564" s="94"/>
      <c r="D564" s="94"/>
      <c r="E564" s="282"/>
      <c r="F564" s="282"/>
      <c r="G564" s="94"/>
      <c r="H564" s="94"/>
      <c r="I564" s="94"/>
      <c r="J564" s="94"/>
      <c r="K564" s="94"/>
      <c r="L564" s="94"/>
    </row>
    <row r="565" spans="1:12" ht="13.5" customHeight="1">
      <c r="A565" s="94"/>
      <c r="B565" s="94"/>
      <c r="C565" s="94"/>
      <c r="D565" s="94"/>
      <c r="E565" s="282"/>
      <c r="F565" s="282"/>
      <c r="G565" s="94"/>
      <c r="H565" s="94"/>
      <c r="I565" s="94"/>
      <c r="J565" s="94"/>
      <c r="K565" s="94"/>
      <c r="L565" s="94"/>
    </row>
    <row r="566" spans="1:12" ht="13.5" customHeight="1">
      <c r="A566" s="94"/>
      <c r="B566" s="94"/>
      <c r="C566" s="94"/>
      <c r="D566" s="94"/>
      <c r="E566" s="282"/>
      <c r="F566" s="282"/>
      <c r="G566" s="94"/>
      <c r="H566" s="94"/>
      <c r="I566" s="94"/>
      <c r="J566" s="94"/>
      <c r="K566" s="94"/>
      <c r="L566" s="94"/>
    </row>
    <row r="567" spans="1:12" ht="13.5" customHeight="1">
      <c r="A567" s="94"/>
      <c r="B567" s="94"/>
      <c r="C567" s="94"/>
      <c r="D567" s="94"/>
      <c r="E567" s="282"/>
      <c r="F567" s="282"/>
      <c r="G567" s="94"/>
      <c r="H567" s="94"/>
      <c r="I567" s="94"/>
      <c r="J567" s="94"/>
      <c r="K567" s="94"/>
      <c r="L567" s="94"/>
    </row>
    <row r="568" spans="1:12" ht="13.5" customHeight="1">
      <c r="A568" s="94"/>
      <c r="B568" s="94"/>
      <c r="C568" s="94"/>
      <c r="D568" s="94"/>
      <c r="E568" s="282"/>
      <c r="F568" s="282"/>
      <c r="G568" s="94"/>
      <c r="H568" s="94"/>
      <c r="I568" s="94"/>
      <c r="J568" s="94"/>
      <c r="K568" s="94"/>
      <c r="L568" s="94"/>
    </row>
    <row r="569" spans="1:12" ht="13.5" customHeight="1">
      <c r="A569" s="94"/>
      <c r="B569" s="94"/>
      <c r="C569" s="94"/>
      <c r="D569" s="94"/>
      <c r="E569" s="282"/>
      <c r="F569" s="282"/>
      <c r="G569" s="94"/>
      <c r="H569" s="94"/>
      <c r="I569" s="94"/>
      <c r="J569" s="94"/>
      <c r="K569" s="94"/>
      <c r="L569" s="94"/>
    </row>
    <row r="570" spans="1:12" ht="13.5" customHeight="1">
      <c r="A570" s="94"/>
      <c r="B570" s="94"/>
      <c r="C570" s="94"/>
      <c r="D570" s="94"/>
      <c r="E570" s="282"/>
      <c r="F570" s="282"/>
      <c r="G570" s="94"/>
      <c r="H570" s="94"/>
      <c r="I570" s="94"/>
      <c r="J570" s="94"/>
      <c r="K570" s="94"/>
      <c r="L570" s="94"/>
    </row>
    <row r="571" spans="1:12" ht="13.5" customHeight="1">
      <c r="A571" s="94"/>
      <c r="B571" s="94"/>
      <c r="C571" s="94"/>
      <c r="D571" s="94"/>
      <c r="E571" s="282"/>
      <c r="F571" s="282"/>
      <c r="G571" s="94"/>
      <c r="H571" s="94"/>
      <c r="I571" s="94"/>
      <c r="J571" s="94"/>
      <c r="K571" s="94"/>
      <c r="L571" s="94"/>
    </row>
    <row r="572" spans="1:12" ht="13.5" customHeight="1">
      <c r="A572" s="94"/>
      <c r="B572" s="94"/>
      <c r="C572" s="94"/>
      <c r="D572" s="94"/>
      <c r="E572" s="282"/>
      <c r="F572" s="282"/>
      <c r="G572" s="94"/>
      <c r="H572" s="94"/>
      <c r="I572" s="94"/>
      <c r="J572" s="94"/>
      <c r="K572" s="94"/>
      <c r="L572" s="94"/>
    </row>
    <row r="573" spans="1:12" ht="13.5" customHeight="1">
      <c r="A573" s="94"/>
      <c r="B573" s="94"/>
      <c r="C573" s="94"/>
      <c r="D573" s="94"/>
      <c r="E573" s="282"/>
      <c r="F573" s="282"/>
      <c r="G573" s="94"/>
      <c r="H573" s="94"/>
      <c r="I573" s="94"/>
      <c r="J573" s="94"/>
      <c r="K573" s="94"/>
      <c r="L573" s="94"/>
    </row>
    <row r="574" spans="1:12" ht="13.5" customHeight="1">
      <c r="A574" s="94"/>
      <c r="B574" s="94"/>
      <c r="C574" s="94"/>
      <c r="D574" s="94"/>
      <c r="E574" s="282"/>
      <c r="F574" s="282"/>
      <c r="G574" s="94"/>
      <c r="H574" s="94"/>
      <c r="I574" s="94"/>
      <c r="J574" s="94"/>
      <c r="K574" s="94"/>
      <c r="L574" s="94"/>
    </row>
    <row r="575" spans="1:12" ht="13.5" customHeight="1">
      <c r="A575" s="94"/>
      <c r="B575" s="94"/>
      <c r="C575" s="94"/>
      <c r="D575" s="94"/>
      <c r="E575" s="282"/>
      <c r="F575" s="282"/>
      <c r="G575" s="94"/>
      <c r="H575" s="94"/>
      <c r="I575" s="94"/>
      <c r="J575" s="94"/>
      <c r="K575" s="94"/>
      <c r="L575" s="94"/>
    </row>
    <row r="576" spans="1:12" ht="13.5" customHeight="1">
      <c r="A576" s="94"/>
      <c r="B576" s="94"/>
      <c r="C576" s="94"/>
      <c r="D576" s="94"/>
      <c r="E576" s="282"/>
      <c r="F576" s="282"/>
      <c r="G576" s="94"/>
      <c r="H576" s="94"/>
      <c r="I576" s="94"/>
      <c r="J576" s="94"/>
      <c r="K576" s="94"/>
      <c r="L576" s="94"/>
    </row>
    <row r="577" spans="1:12" ht="13.5" customHeight="1">
      <c r="A577" s="94"/>
      <c r="B577" s="94"/>
      <c r="C577" s="94"/>
      <c r="D577" s="94"/>
      <c r="E577" s="282"/>
      <c r="F577" s="282"/>
      <c r="G577" s="94"/>
      <c r="H577" s="94"/>
      <c r="I577" s="94"/>
      <c r="J577" s="94"/>
      <c r="K577" s="94"/>
      <c r="L577" s="94"/>
    </row>
    <row r="578" spans="1:12" ht="13.5" customHeight="1">
      <c r="A578" s="94"/>
      <c r="B578" s="94"/>
      <c r="C578" s="94"/>
      <c r="D578" s="94"/>
      <c r="E578" s="282"/>
      <c r="F578" s="282"/>
      <c r="G578" s="94"/>
      <c r="H578" s="94"/>
      <c r="I578" s="94"/>
      <c r="J578" s="94"/>
      <c r="K578" s="94"/>
      <c r="L578" s="94"/>
    </row>
    <row r="579" spans="1:12" ht="13.5" customHeight="1">
      <c r="A579" s="94"/>
      <c r="B579" s="94"/>
      <c r="C579" s="94"/>
      <c r="D579" s="94"/>
      <c r="E579" s="282"/>
      <c r="F579" s="282"/>
      <c r="G579" s="94"/>
      <c r="H579" s="94"/>
      <c r="I579" s="94"/>
      <c r="J579" s="94"/>
      <c r="K579" s="94"/>
      <c r="L579" s="94"/>
    </row>
    <row r="580" spans="1:12" ht="13.5" customHeight="1">
      <c r="A580" s="94"/>
      <c r="B580" s="94"/>
      <c r="C580" s="94"/>
      <c r="D580" s="94"/>
      <c r="E580" s="282"/>
      <c r="F580" s="282"/>
      <c r="G580" s="94"/>
      <c r="H580" s="94"/>
      <c r="I580" s="94"/>
      <c r="J580" s="94"/>
      <c r="K580" s="94"/>
      <c r="L580" s="94"/>
    </row>
    <row r="581" spans="1:12" ht="13.5" customHeight="1">
      <c r="A581" s="94"/>
      <c r="B581" s="94"/>
      <c r="C581" s="94"/>
      <c r="D581" s="94"/>
      <c r="E581" s="282"/>
      <c r="F581" s="282"/>
      <c r="G581" s="94"/>
      <c r="H581" s="94"/>
      <c r="I581" s="94"/>
      <c r="J581" s="94"/>
      <c r="K581" s="94"/>
      <c r="L581" s="94"/>
    </row>
    <row r="582" spans="1:12" ht="13.5" customHeight="1">
      <c r="A582" s="94"/>
      <c r="B582" s="94"/>
      <c r="C582" s="94"/>
      <c r="D582" s="94"/>
      <c r="E582" s="282"/>
      <c r="F582" s="282"/>
      <c r="G582" s="94"/>
      <c r="H582" s="94"/>
      <c r="I582" s="94"/>
      <c r="J582" s="94"/>
      <c r="K582" s="94"/>
      <c r="L582" s="94"/>
    </row>
    <row r="583" spans="1:12" ht="13.5" customHeight="1">
      <c r="A583" s="94"/>
      <c r="B583" s="94"/>
      <c r="C583" s="94"/>
      <c r="D583" s="94"/>
      <c r="E583" s="282"/>
      <c r="F583" s="282"/>
      <c r="G583" s="94"/>
      <c r="H583" s="94"/>
      <c r="I583" s="94"/>
      <c r="J583" s="94"/>
      <c r="K583" s="94"/>
      <c r="L583" s="94"/>
    </row>
    <row r="584" spans="1:12" ht="13.5" customHeight="1">
      <c r="A584" s="94"/>
      <c r="B584" s="94"/>
      <c r="C584" s="94"/>
      <c r="D584" s="94"/>
      <c r="E584" s="282"/>
      <c r="F584" s="282"/>
      <c r="G584" s="94"/>
      <c r="H584" s="94"/>
      <c r="I584" s="94"/>
      <c r="J584" s="94"/>
      <c r="K584" s="94"/>
      <c r="L584" s="94"/>
    </row>
    <row r="585" spans="1:12" ht="13.5" customHeight="1">
      <c r="A585" s="94"/>
      <c r="B585" s="94"/>
      <c r="C585" s="94"/>
      <c r="D585" s="94"/>
      <c r="E585" s="282"/>
      <c r="F585" s="282"/>
      <c r="G585" s="94"/>
      <c r="H585" s="94"/>
      <c r="I585" s="94"/>
      <c r="J585" s="94"/>
      <c r="K585" s="94"/>
      <c r="L585" s="94"/>
    </row>
    <row r="586" spans="1:12" ht="13.5" customHeight="1">
      <c r="A586" s="94"/>
      <c r="B586" s="94"/>
      <c r="C586" s="94"/>
      <c r="D586" s="94"/>
      <c r="E586" s="282"/>
      <c r="F586" s="282"/>
      <c r="G586" s="94"/>
      <c r="H586" s="94"/>
      <c r="I586" s="94"/>
      <c r="J586" s="94"/>
      <c r="K586" s="94"/>
      <c r="L586" s="94"/>
    </row>
    <row r="587" spans="1:12" ht="13.5" customHeight="1">
      <c r="A587" s="94"/>
      <c r="B587" s="94"/>
      <c r="C587" s="94"/>
      <c r="D587" s="94"/>
      <c r="E587" s="282"/>
      <c r="F587" s="282"/>
      <c r="G587" s="94"/>
      <c r="H587" s="94"/>
      <c r="I587" s="94"/>
      <c r="J587" s="94"/>
      <c r="K587" s="94"/>
      <c r="L587" s="94"/>
    </row>
    <row r="588" spans="1:12" ht="13.5" customHeight="1">
      <c r="A588" s="94"/>
      <c r="B588" s="94"/>
      <c r="C588" s="94"/>
      <c r="D588" s="94"/>
      <c r="E588" s="282"/>
      <c r="F588" s="282"/>
      <c r="G588" s="94"/>
      <c r="H588" s="94"/>
      <c r="I588" s="94"/>
      <c r="J588" s="94"/>
      <c r="K588" s="94"/>
      <c r="L588" s="94"/>
    </row>
    <row r="589" spans="1:12" ht="13.5" customHeight="1">
      <c r="A589" s="94"/>
      <c r="B589" s="94"/>
      <c r="C589" s="94"/>
      <c r="D589" s="94"/>
      <c r="E589" s="282"/>
      <c r="F589" s="282"/>
      <c r="G589" s="94"/>
      <c r="H589" s="94"/>
      <c r="I589" s="94"/>
      <c r="J589" s="94"/>
      <c r="K589" s="94"/>
      <c r="L589" s="94"/>
    </row>
    <row r="590" spans="1:12" ht="13.5" customHeight="1">
      <c r="A590" s="94"/>
      <c r="B590" s="94"/>
      <c r="C590" s="94"/>
      <c r="D590" s="94"/>
      <c r="E590" s="282"/>
      <c r="F590" s="282"/>
      <c r="G590" s="94"/>
      <c r="H590" s="94"/>
      <c r="I590" s="94"/>
      <c r="J590" s="94"/>
      <c r="K590" s="94"/>
      <c r="L590" s="94"/>
    </row>
    <row r="591" spans="1:12" ht="13.5" customHeight="1">
      <c r="A591" s="94"/>
      <c r="B591" s="94"/>
      <c r="C591" s="94"/>
      <c r="D591" s="94"/>
      <c r="E591" s="282"/>
      <c r="F591" s="282"/>
      <c r="G591" s="94"/>
      <c r="H591" s="94"/>
      <c r="I591" s="94"/>
      <c r="J591" s="94"/>
      <c r="K591" s="94"/>
      <c r="L591" s="94"/>
    </row>
    <row r="592" spans="1:12" ht="13.5" customHeight="1">
      <c r="A592" s="94"/>
      <c r="B592" s="94"/>
      <c r="C592" s="94"/>
      <c r="D592" s="94"/>
      <c r="E592" s="282"/>
      <c r="F592" s="282"/>
      <c r="G592" s="94"/>
      <c r="H592" s="94"/>
      <c r="I592" s="94"/>
      <c r="J592" s="94"/>
      <c r="K592" s="94"/>
      <c r="L592" s="94"/>
    </row>
    <row r="593" spans="1:12" ht="13.5" customHeight="1">
      <c r="A593" s="94"/>
      <c r="B593" s="94"/>
      <c r="C593" s="94"/>
      <c r="D593" s="94"/>
      <c r="E593" s="282"/>
      <c r="F593" s="282"/>
      <c r="G593" s="94"/>
      <c r="H593" s="94"/>
      <c r="I593" s="94"/>
      <c r="J593" s="94"/>
      <c r="K593" s="94"/>
      <c r="L593" s="94"/>
    </row>
    <row r="594" spans="1:12" ht="13.5" customHeight="1">
      <c r="A594" s="94"/>
      <c r="B594" s="94"/>
      <c r="C594" s="94"/>
      <c r="D594" s="94"/>
      <c r="E594" s="282"/>
      <c r="F594" s="282"/>
      <c r="G594" s="94"/>
      <c r="H594" s="94"/>
      <c r="I594" s="94"/>
      <c r="J594" s="94"/>
      <c r="K594" s="94"/>
      <c r="L594" s="94"/>
    </row>
    <row r="595" spans="1:12" ht="13.5" customHeight="1">
      <c r="A595" s="94"/>
      <c r="B595" s="94"/>
      <c r="C595" s="94"/>
      <c r="D595" s="94"/>
      <c r="E595" s="282"/>
      <c r="F595" s="282"/>
      <c r="G595" s="94"/>
      <c r="H595" s="94"/>
      <c r="I595" s="94"/>
      <c r="J595" s="94"/>
      <c r="K595" s="94"/>
      <c r="L595" s="94"/>
    </row>
    <row r="596" spans="1:12" ht="13.5" customHeight="1">
      <c r="A596" s="94"/>
      <c r="B596" s="94"/>
      <c r="C596" s="94"/>
      <c r="D596" s="94"/>
      <c r="E596" s="282"/>
      <c r="F596" s="282"/>
      <c r="G596" s="94"/>
      <c r="H596" s="94"/>
      <c r="I596" s="94"/>
      <c r="J596" s="94"/>
      <c r="K596" s="94"/>
      <c r="L596" s="94"/>
    </row>
    <row r="597" spans="1:12" ht="13.5" customHeight="1">
      <c r="A597" s="94"/>
      <c r="B597" s="94"/>
      <c r="C597" s="94"/>
      <c r="D597" s="94"/>
      <c r="E597" s="282"/>
      <c r="F597" s="282"/>
      <c r="G597" s="94"/>
      <c r="H597" s="94"/>
      <c r="I597" s="94"/>
      <c r="J597" s="94"/>
      <c r="K597" s="94"/>
      <c r="L597" s="94"/>
    </row>
    <row r="598" spans="1:12" ht="13.5" customHeight="1">
      <c r="A598" s="94"/>
      <c r="B598" s="94"/>
      <c r="C598" s="94"/>
      <c r="D598" s="94"/>
      <c r="E598" s="282"/>
      <c r="F598" s="282"/>
      <c r="G598" s="94"/>
      <c r="H598" s="94"/>
      <c r="I598" s="94"/>
      <c r="J598" s="94"/>
      <c r="K598" s="94"/>
      <c r="L598" s="94"/>
    </row>
    <row r="599" spans="1:12" ht="13.5" customHeight="1">
      <c r="A599" s="94"/>
      <c r="B599" s="94"/>
      <c r="C599" s="94"/>
      <c r="D599" s="94"/>
      <c r="E599" s="282"/>
      <c r="F599" s="282"/>
      <c r="G599" s="94"/>
      <c r="H599" s="94"/>
      <c r="I599" s="94"/>
      <c r="J599" s="94"/>
      <c r="K599" s="94"/>
      <c r="L599" s="94"/>
    </row>
    <row r="600" spans="1:12" ht="13.5" customHeight="1">
      <c r="A600" s="94"/>
      <c r="B600" s="94"/>
      <c r="C600" s="94"/>
      <c r="D600" s="94"/>
      <c r="E600" s="282"/>
      <c r="F600" s="282"/>
      <c r="G600" s="94"/>
      <c r="H600" s="94"/>
      <c r="I600" s="94"/>
      <c r="J600" s="94"/>
      <c r="K600" s="94"/>
      <c r="L600" s="94"/>
    </row>
    <row r="601" spans="1:12" ht="13.5" customHeight="1">
      <c r="A601" s="94"/>
      <c r="B601" s="94"/>
      <c r="C601" s="94"/>
      <c r="D601" s="94"/>
      <c r="E601" s="282"/>
      <c r="F601" s="282"/>
      <c r="G601" s="94"/>
      <c r="H601" s="94"/>
      <c r="I601" s="94"/>
      <c r="J601" s="94"/>
      <c r="K601" s="94"/>
      <c r="L601" s="94"/>
    </row>
    <row r="602" spans="1:12" ht="13.5" customHeight="1">
      <c r="A602" s="94"/>
      <c r="B602" s="94"/>
      <c r="C602" s="94"/>
      <c r="D602" s="94"/>
      <c r="E602" s="282"/>
      <c r="F602" s="282"/>
      <c r="G602" s="94"/>
      <c r="H602" s="94"/>
      <c r="I602" s="94"/>
      <c r="J602" s="94"/>
      <c r="K602" s="94"/>
      <c r="L602" s="94"/>
    </row>
    <row r="603" spans="1:12" ht="13.5" customHeight="1">
      <c r="A603" s="94"/>
      <c r="B603" s="94"/>
      <c r="C603" s="94"/>
      <c r="D603" s="94"/>
      <c r="E603" s="282"/>
      <c r="F603" s="282"/>
      <c r="G603" s="94"/>
      <c r="H603" s="94"/>
      <c r="I603" s="94"/>
      <c r="J603" s="94"/>
      <c r="K603" s="94"/>
      <c r="L603" s="94"/>
    </row>
    <row r="604" spans="1:12" ht="13.5" customHeight="1">
      <c r="A604" s="94"/>
      <c r="B604" s="94"/>
      <c r="C604" s="94"/>
      <c r="D604" s="94"/>
      <c r="E604" s="282"/>
      <c r="F604" s="282"/>
      <c r="G604" s="94"/>
      <c r="H604" s="94"/>
      <c r="I604" s="94"/>
      <c r="J604" s="94"/>
      <c r="K604" s="94"/>
      <c r="L604" s="94"/>
    </row>
    <row r="605" spans="1:12" ht="13.5" customHeight="1">
      <c r="A605" s="94"/>
      <c r="B605" s="94"/>
      <c r="C605" s="94"/>
      <c r="D605" s="94"/>
      <c r="E605" s="282"/>
      <c r="F605" s="282"/>
      <c r="G605" s="94"/>
      <c r="H605" s="94"/>
      <c r="I605" s="94"/>
      <c r="J605" s="94"/>
      <c r="K605" s="94"/>
      <c r="L605" s="94"/>
    </row>
    <row r="606" spans="1:12" ht="13.5" customHeight="1">
      <c r="A606" s="94"/>
      <c r="B606" s="94"/>
      <c r="C606" s="94"/>
      <c r="D606" s="94"/>
      <c r="E606" s="282"/>
      <c r="F606" s="282"/>
      <c r="G606" s="94"/>
      <c r="H606" s="94"/>
      <c r="I606" s="94"/>
      <c r="J606" s="94"/>
      <c r="K606" s="94"/>
      <c r="L606" s="94"/>
    </row>
    <row r="607" spans="1:12" ht="13.5" customHeight="1">
      <c r="A607" s="94"/>
      <c r="B607" s="94"/>
      <c r="C607" s="94"/>
      <c r="D607" s="94"/>
      <c r="E607" s="282"/>
      <c r="F607" s="282"/>
      <c r="G607" s="94"/>
      <c r="H607" s="94"/>
      <c r="I607" s="94"/>
      <c r="J607" s="94"/>
      <c r="K607" s="94"/>
      <c r="L607" s="94"/>
    </row>
    <row r="608" spans="1:12" ht="13.5" customHeight="1">
      <c r="A608" s="94"/>
      <c r="B608" s="94"/>
      <c r="C608" s="94"/>
      <c r="D608" s="94"/>
      <c r="E608" s="282"/>
      <c r="F608" s="282"/>
      <c r="G608" s="94"/>
      <c r="H608" s="94"/>
      <c r="I608" s="94"/>
      <c r="J608" s="94"/>
      <c r="K608" s="94"/>
      <c r="L608" s="94"/>
    </row>
    <row r="609" spans="1:12" ht="13.5" customHeight="1">
      <c r="A609" s="94"/>
      <c r="B609" s="94"/>
      <c r="C609" s="94"/>
      <c r="D609" s="94"/>
      <c r="E609" s="282"/>
      <c r="F609" s="282"/>
      <c r="G609" s="94"/>
      <c r="H609" s="94"/>
      <c r="I609" s="94"/>
      <c r="J609" s="94"/>
      <c r="K609" s="94"/>
      <c r="L609" s="94"/>
    </row>
    <row r="610" spans="1:12" ht="13.5" customHeight="1">
      <c r="A610" s="94"/>
      <c r="B610" s="94"/>
      <c r="C610" s="94"/>
      <c r="D610" s="94"/>
      <c r="E610" s="282"/>
      <c r="F610" s="282"/>
      <c r="G610" s="94"/>
      <c r="H610" s="94"/>
      <c r="I610" s="94"/>
      <c r="J610" s="94"/>
      <c r="K610" s="94"/>
      <c r="L610" s="94"/>
    </row>
    <row r="611" spans="1:12" ht="13.5" customHeight="1">
      <c r="A611" s="94"/>
      <c r="B611" s="94"/>
      <c r="C611" s="94"/>
      <c r="D611" s="94"/>
      <c r="E611" s="282"/>
      <c r="F611" s="282"/>
      <c r="G611" s="94"/>
      <c r="H611" s="94"/>
      <c r="I611" s="94"/>
      <c r="J611" s="94"/>
      <c r="K611" s="94"/>
      <c r="L611" s="94"/>
    </row>
    <row r="612" spans="1:12" ht="13.5" customHeight="1">
      <c r="A612" s="94"/>
      <c r="B612" s="94"/>
      <c r="C612" s="94"/>
      <c r="D612" s="94"/>
      <c r="E612" s="282"/>
      <c r="F612" s="282"/>
      <c r="G612" s="94"/>
      <c r="H612" s="94"/>
      <c r="I612" s="94"/>
      <c r="J612" s="94"/>
      <c r="K612" s="94"/>
      <c r="L612" s="94"/>
    </row>
    <row r="613" spans="1:12" ht="13.5" customHeight="1">
      <c r="A613" s="94"/>
      <c r="B613" s="94"/>
      <c r="C613" s="94"/>
      <c r="D613" s="94"/>
      <c r="E613" s="282"/>
      <c r="F613" s="282"/>
      <c r="G613" s="94"/>
      <c r="H613" s="94"/>
      <c r="I613" s="94"/>
      <c r="J613" s="94"/>
      <c r="K613" s="94"/>
      <c r="L613" s="94"/>
    </row>
    <row r="614" spans="1:12" ht="13.5" customHeight="1">
      <c r="A614" s="94"/>
      <c r="B614" s="94"/>
      <c r="C614" s="94"/>
      <c r="D614" s="94"/>
      <c r="E614" s="282"/>
      <c r="F614" s="282"/>
      <c r="G614" s="94"/>
      <c r="H614" s="94"/>
      <c r="I614" s="94"/>
      <c r="J614" s="94"/>
      <c r="K614" s="94"/>
      <c r="L614" s="94"/>
    </row>
    <row r="615" spans="1:12" ht="13.5" customHeight="1">
      <c r="A615" s="94"/>
      <c r="B615" s="94"/>
      <c r="C615" s="94"/>
      <c r="D615" s="94"/>
      <c r="E615" s="282"/>
      <c r="F615" s="282"/>
      <c r="G615" s="94"/>
      <c r="H615" s="94"/>
      <c r="I615" s="94"/>
      <c r="J615" s="94"/>
      <c r="K615" s="94"/>
      <c r="L615" s="94"/>
    </row>
    <row r="616" spans="1:12" ht="13.5" customHeight="1">
      <c r="A616" s="94"/>
      <c r="B616" s="94"/>
      <c r="C616" s="94"/>
      <c r="D616" s="94"/>
      <c r="E616" s="282"/>
      <c r="F616" s="282"/>
      <c r="G616" s="94"/>
      <c r="H616" s="94"/>
      <c r="I616" s="94"/>
      <c r="J616" s="94"/>
      <c r="K616" s="94"/>
      <c r="L616" s="94"/>
    </row>
    <row r="617" spans="1:12" ht="13.5" customHeight="1">
      <c r="A617" s="94"/>
      <c r="B617" s="94"/>
      <c r="C617" s="94"/>
      <c r="D617" s="94"/>
      <c r="E617" s="282"/>
      <c r="F617" s="282"/>
      <c r="G617" s="94"/>
      <c r="H617" s="94"/>
      <c r="I617" s="94"/>
      <c r="J617" s="94"/>
      <c r="K617" s="94"/>
      <c r="L617" s="94"/>
    </row>
    <row r="618" spans="1:12" ht="13.5" customHeight="1">
      <c r="A618" s="94"/>
      <c r="B618" s="94"/>
      <c r="C618" s="94"/>
      <c r="D618" s="94"/>
      <c r="E618" s="282"/>
      <c r="F618" s="282"/>
      <c r="G618" s="94"/>
      <c r="H618" s="94"/>
      <c r="I618" s="94"/>
      <c r="J618" s="94"/>
      <c r="K618" s="94"/>
      <c r="L618" s="94"/>
    </row>
    <row r="619" spans="1:12" ht="13.5" customHeight="1">
      <c r="A619" s="94"/>
      <c r="B619" s="94"/>
      <c r="C619" s="94"/>
      <c r="D619" s="94"/>
      <c r="E619" s="282"/>
      <c r="F619" s="282"/>
      <c r="G619" s="94"/>
      <c r="H619" s="94"/>
      <c r="I619" s="94"/>
      <c r="J619" s="94"/>
      <c r="K619" s="94"/>
      <c r="L619" s="94"/>
    </row>
    <row r="620" spans="1:12" ht="13.5" customHeight="1">
      <c r="A620" s="94"/>
      <c r="B620" s="94"/>
      <c r="C620" s="94"/>
      <c r="D620" s="94"/>
      <c r="E620" s="282"/>
      <c r="F620" s="282"/>
      <c r="G620" s="94"/>
      <c r="H620" s="94"/>
      <c r="I620" s="94"/>
      <c r="J620" s="94"/>
      <c r="K620" s="94"/>
      <c r="L620" s="94"/>
    </row>
    <row r="621" spans="1:12" ht="13.5" customHeight="1">
      <c r="A621" s="94"/>
      <c r="B621" s="94"/>
      <c r="C621" s="94"/>
      <c r="D621" s="94"/>
      <c r="E621" s="282"/>
      <c r="F621" s="282"/>
      <c r="G621" s="94"/>
      <c r="H621" s="94"/>
      <c r="I621" s="94"/>
      <c r="J621" s="94"/>
      <c r="K621" s="94"/>
      <c r="L621" s="94"/>
    </row>
    <row r="622" spans="1:12" ht="13.5" customHeight="1">
      <c r="A622" s="94"/>
      <c r="B622" s="94"/>
      <c r="C622" s="94"/>
      <c r="D622" s="94"/>
      <c r="E622" s="282"/>
      <c r="F622" s="282"/>
      <c r="G622" s="94"/>
      <c r="H622" s="94"/>
      <c r="I622" s="94"/>
      <c r="J622" s="94"/>
      <c r="K622" s="94"/>
      <c r="L622" s="94"/>
    </row>
    <row r="623" spans="1:12" ht="13.5" customHeight="1">
      <c r="A623" s="94"/>
      <c r="B623" s="94"/>
      <c r="C623" s="94"/>
      <c r="D623" s="94"/>
      <c r="E623" s="282"/>
      <c r="F623" s="282"/>
      <c r="G623" s="94"/>
      <c r="H623" s="94"/>
      <c r="I623" s="94"/>
      <c r="J623" s="94"/>
      <c r="K623" s="94"/>
      <c r="L623" s="94"/>
    </row>
    <row r="624" spans="1:12" ht="13.5" customHeight="1">
      <c r="A624" s="94"/>
      <c r="B624" s="94"/>
      <c r="C624" s="94"/>
      <c r="D624" s="94"/>
      <c r="E624" s="282"/>
      <c r="F624" s="282"/>
      <c r="G624" s="94"/>
      <c r="H624" s="94"/>
      <c r="I624" s="94"/>
      <c r="J624" s="94"/>
      <c r="K624" s="94"/>
      <c r="L624" s="94"/>
    </row>
    <row r="625" spans="1:12" ht="13.5" customHeight="1">
      <c r="A625" s="94"/>
      <c r="B625" s="94"/>
      <c r="C625" s="94"/>
      <c r="D625" s="94"/>
      <c r="E625" s="282"/>
      <c r="F625" s="282"/>
      <c r="G625" s="94"/>
      <c r="H625" s="94"/>
      <c r="I625" s="94"/>
      <c r="J625" s="94"/>
      <c r="K625" s="94"/>
      <c r="L625" s="94"/>
    </row>
    <row r="626" spans="1:12" ht="13.5" customHeight="1">
      <c r="A626" s="94"/>
      <c r="B626" s="94"/>
      <c r="C626" s="94"/>
      <c r="D626" s="94"/>
      <c r="E626" s="282"/>
      <c r="F626" s="282"/>
      <c r="G626" s="94"/>
      <c r="H626" s="94"/>
      <c r="I626" s="94"/>
      <c r="J626" s="94"/>
      <c r="K626" s="94"/>
      <c r="L626" s="94"/>
    </row>
    <row r="627" spans="1:12" ht="13.5" customHeight="1">
      <c r="A627" s="94"/>
      <c r="B627" s="94"/>
      <c r="C627" s="94"/>
      <c r="D627" s="94"/>
      <c r="E627" s="282"/>
      <c r="F627" s="282"/>
      <c r="G627" s="94"/>
      <c r="H627" s="94"/>
      <c r="I627" s="94"/>
      <c r="J627" s="94"/>
      <c r="K627" s="94"/>
      <c r="L627" s="94"/>
    </row>
    <row r="628" spans="1:12" ht="13.5" customHeight="1">
      <c r="A628" s="94"/>
      <c r="B628" s="94"/>
      <c r="C628" s="94"/>
      <c r="D628" s="94"/>
      <c r="E628" s="282"/>
      <c r="F628" s="282"/>
      <c r="G628" s="94"/>
      <c r="H628" s="94"/>
      <c r="I628" s="94"/>
      <c r="J628" s="94"/>
      <c r="K628" s="94"/>
      <c r="L628" s="94"/>
    </row>
    <row r="629" spans="1:12" ht="13.5" customHeight="1">
      <c r="A629" s="94"/>
      <c r="B629" s="94"/>
      <c r="C629" s="94"/>
      <c r="D629" s="94"/>
      <c r="E629" s="282"/>
      <c r="F629" s="282"/>
      <c r="G629" s="94"/>
      <c r="H629" s="94"/>
      <c r="I629" s="94"/>
      <c r="J629" s="94"/>
      <c r="K629" s="94"/>
      <c r="L629" s="94"/>
    </row>
    <row r="630" spans="1:12" ht="13.5" customHeight="1">
      <c r="A630" s="94"/>
      <c r="B630" s="94"/>
      <c r="C630" s="94"/>
      <c r="D630" s="94"/>
      <c r="E630" s="282"/>
      <c r="F630" s="282"/>
      <c r="G630" s="94"/>
      <c r="H630" s="94"/>
      <c r="I630" s="94"/>
      <c r="J630" s="94"/>
      <c r="K630" s="94"/>
      <c r="L630" s="94"/>
    </row>
    <row r="631" spans="1:12" ht="13.5" customHeight="1">
      <c r="A631" s="94"/>
      <c r="B631" s="94"/>
      <c r="C631" s="94"/>
      <c r="D631" s="94"/>
      <c r="E631" s="282"/>
      <c r="F631" s="282"/>
      <c r="G631" s="94"/>
      <c r="H631" s="94"/>
      <c r="I631" s="94"/>
      <c r="J631" s="94"/>
      <c r="K631" s="94"/>
      <c r="L631" s="94"/>
    </row>
    <row r="632" spans="1:12" ht="13.5" customHeight="1">
      <c r="A632" s="94"/>
      <c r="B632" s="94"/>
      <c r="C632" s="94"/>
      <c r="D632" s="94"/>
      <c r="E632" s="282"/>
      <c r="F632" s="282"/>
      <c r="G632" s="94"/>
      <c r="H632" s="94"/>
      <c r="I632" s="94"/>
      <c r="J632" s="94"/>
      <c r="K632" s="94"/>
      <c r="L632" s="94"/>
    </row>
    <row r="633" spans="1:12" ht="13.5" customHeight="1">
      <c r="A633" s="94"/>
      <c r="B633" s="94"/>
      <c r="C633" s="94"/>
      <c r="D633" s="94"/>
      <c r="E633" s="282"/>
      <c r="F633" s="282"/>
      <c r="G633" s="94"/>
      <c r="H633" s="94"/>
      <c r="I633" s="94"/>
      <c r="J633" s="94"/>
      <c r="K633" s="94"/>
      <c r="L633" s="94"/>
    </row>
    <row r="634" spans="1:12" ht="13.5" customHeight="1">
      <c r="A634" s="94"/>
      <c r="B634" s="94"/>
      <c r="C634" s="94"/>
      <c r="D634" s="94"/>
      <c r="E634" s="282"/>
      <c r="F634" s="282"/>
      <c r="G634" s="94"/>
      <c r="H634" s="94"/>
      <c r="I634" s="94"/>
      <c r="J634" s="94"/>
      <c r="K634" s="94"/>
      <c r="L634" s="94"/>
    </row>
    <row r="635" spans="1:12" ht="13.5" customHeight="1">
      <c r="A635" s="94"/>
      <c r="B635" s="94"/>
      <c r="C635" s="94"/>
      <c r="D635" s="94"/>
      <c r="E635" s="282"/>
      <c r="F635" s="282"/>
      <c r="G635" s="94"/>
      <c r="H635" s="94"/>
      <c r="I635" s="94"/>
      <c r="J635" s="94"/>
      <c r="K635" s="94"/>
      <c r="L635" s="94"/>
    </row>
    <row r="636" spans="1:12" ht="13.5" customHeight="1">
      <c r="A636" s="94"/>
      <c r="B636" s="94"/>
      <c r="C636" s="94"/>
      <c r="D636" s="94"/>
      <c r="E636" s="282"/>
      <c r="F636" s="282"/>
      <c r="G636" s="94"/>
      <c r="H636" s="94"/>
      <c r="I636" s="94"/>
      <c r="J636" s="94"/>
      <c r="K636" s="94"/>
      <c r="L636" s="94"/>
    </row>
    <row r="637" spans="1:12" ht="13.5" customHeight="1">
      <c r="A637" s="94"/>
      <c r="B637" s="94"/>
      <c r="C637" s="94"/>
      <c r="D637" s="94"/>
      <c r="E637" s="282"/>
      <c r="F637" s="282"/>
      <c r="G637" s="94"/>
      <c r="H637" s="94"/>
      <c r="I637" s="94"/>
      <c r="J637" s="94"/>
      <c r="K637" s="94"/>
      <c r="L637" s="94"/>
    </row>
    <row r="638" spans="1:12" ht="13.5" customHeight="1">
      <c r="A638" s="94"/>
      <c r="B638" s="94"/>
      <c r="C638" s="94"/>
      <c r="D638" s="94"/>
      <c r="E638" s="282"/>
      <c r="F638" s="282"/>
      <c r="G638" s="94"/>
      <c r="H638" s="94"/>
      <c r="I638" s="94"/>
      <c r="J638" s="94"/>
      <c r="K638" s="94"/>
      <c r="L638" s="94"/>
    </row>
    <row r="639" spans="1:12" ht="13.5" customHeight="1">
      <c r="A639" s="94"/>
      <c r="B639" s="94"/>
      <c r="C639" s="94"/>
      <c r="D639" s="94"/>
      <c r="E639" s="282"/>
      <c r="F639" s="282"/>
      <c r="G639" s="94"/>
      <c r="H639" s="94"/>
      <c r="I639" s="94"/>
      <c r="J639" s="94"/>
      <c r="K639" s="94"/>
      <c r="L639" s="94"/>
    </row>
    <row r="640" spans="1:12" ht="13.5" customHeight="1">
      <c r="A640" s="94"/>
      <c r="B640" s="94"/>
      <c r="C640" s="94"/>
      <c r="D640" s="94"/>
      <c r="E640" s="282"/>
      <c r="F640" s="282"/>
      <c r="G640" s="94"/>
      <c r="H640" s="94"/>
      <c r="I640" s="94"/>
      <c r="J640" s="94"/>
      <c r="K640" s="94"/>
      <c r="L640" s="94"/>
    </row>
    <row r="641" spans="1:12" ht="13.5" customHeight="1">
      <c r="A641" s="94"/>
      <c r="B641" s="94"/>
      <c r="C641" s="94"/>
      <c r="D641" s="94"/>
      <c r="E641" s="282"/>
      <c r="F641" s="282"/>
      <c r="G641" s="94"/>
      <c r="H641" s="94"/>
      <c r="I641" s="94"/>
      <c r="J641" s="94"/>
      <c r="K641" s="94"/>
      <c r="L641" s="94"/>
    </row>
    <row r="642" spans="1:12" ht="13.5" customHeight="1">
      <c r="A642" s="94"/>
      <c r="B642" s="94"/>
      <c r="C642" s="94"/>
      <c r="D642" s="94"/>
      <c r="E642" s="282"/>
      <c r="F642" s="282"/>
      <c r="G642" s="94"/>
      <c r="H642" s="94"/>
      <c r="I642" s="94"/>
      <c r="J642" s="94"/>
      <c r="K642" s="94"/>
      <c r="L642" s="94"/>
    </row>
    <row r="643" spans="1:12" ht="13.5" customHeight="1">
      <c r="A643" s="94"/>
      <c r="B643" s="94"/>
      <c r="C643" s="94"/>
      <c r="D643" s="94"/>
      <c r="E643" s="282"/>
      <c r="F643" s="282"/>
      <c r="G643" s="94"/>
      <c r="H643" s="94"/>
      <c r="I643" s="94"/>
      <c r="J643" s="94"/>
      <c r="K643" s="94"/>
      <c r="L643" s="94"/>
    </row>
    <row r="644" spans="1:12" ht="13.5" customHeight="1">
      <c r="A644" s="94"/>
      <c r="B644" s="94"/>
      <c r="C644" s="94"/>
      <c r="D644" s="94"/>
      <c r="E644" s="282"/>
      <c r="F644" s="282"/>
      <c r="G644" s="94"/>
      <c r="H644" s="94"/>
      <c r="I644" s="94"/>
      <c r="J644" s="94"/>
      <c r="K644" s="94"/>
      <c r="L644" s="94"/>
    </row>
    <row r="645" spans="1:12" ht="13.5" customHeight="1">
      <c r="A645" s="94"/>
      <c r="B645" s="94"/>
      <c r="C645" s="94"/>
      <c r="D645" s="94"/>
      <c r="E645" s="282"/>
      <c r="F645" s="282"/>
      <c r="G645" s="94"/>
      <c r="H645" s="94"/>
      <c r="I645" s="94"/>
      <c r="J645" s="94"/>
      <c r="K645" s="94"/>
      <c r="L645" s="94"/>
    </row>
    <row r="646" spans="1:12" ht="13.5" customHeight="1">
      <c r="A646" s="94"/>
      <c r="B646" s="94"/>
      <c r="C646" s="94"/>
      <c r="D646" s="94"/>
      <c r="E646" s="282"/>
      <c r="F646" s="282"/>
      <c r="G646" s="94"/>
      <c r="H646" s="94"/>
      <c r="I646" s="94"/>
      <c r="J646" s="94"/>
      <c r="K646" s="94"/>
      <c r="L646" s="94"/>
    </row>
    <row r="647" spans="1:12" ht="13.5" customHeight="1">
      <c r="A647" s="94"/>
      <c r="B647" s="94"/>
      <c r="C647" s="94"/>
      <c r="D647" s="94"/>
      <c r="E647" s="282"/>
      <c r="F647" s="282"/>
      <c r="G647" s="94"/>
      <c r="H647" s="94"/>
      <c r="I647" s="94"/>
      <c r="J647" s="94"/>
      <c r="K647" s="94"/>
      <c r="L647" s="94"/>
    </row>
    <row r="648" spans="1:12" ht="13.5" customHeight="1">
      <c r="A648" s="94"/>
      <c r="B648" s="94"/>
      <c r="C648" s="94"/>
      <c r="D648" s="94"/>
      <c r="E648" s="282"/>
      <c r="F648" s="282"/>
      <c r="G648" s="94"/>
      <c r="H648" s="94"/>
      <c r="I648" s="94"/>
      <c r="J648" s="94"/>
      <c r="K648" s="94"/>
      <c r="L648" s="94"/>
    </row>
    <row r="649" spans="1:12" ht="13.5" customHeight="1">
      <c r="A649" s="94"/>
      <c r="B649" s="94"/>
      <c r="C649" s="94"/>
      <c r="D649" s="94"/>
      <c r="E649" s="282"/>
      <c r="F649" s="282"/>
      <c r="G649" s="94"/>
      <c r="H649" s="94"/>
      <c r="I649" s="94"/>
      <c r="J649" s="94"/>
      <c r="K649" s="94"/>
      <c r="L649" s="94"/>
    </row>
    <row r="650" spans="1:12" ht="13.5" customHeight="1">
      <c r="A650" s="94"/>
      <c r="B650" s="94"/>
      <c r="C650" s="94"/>
      <c r="D650" s="94"/>
      <c r="E650" s="282"/>
      <c r="F650" s="282"/>
      <c r="G650" s="94"/>
      <c r="H650" s="94"/>
      <c r="I650" s="94"/>
      <c r="J650" s="94"/>
      <c r="K650" s="94"/>
      <c r="L650" s="94"/>
    </row>
    <row r="651" spans="1:12" ht="13.5" customHeight="1">
      <c r="A651" s="94"/>
      <c r="B651" s="94"/>
      <c r="C651" s="94"/>
      <c r="D651" s="94"/>
      <c r="E651" s="282"/>
      <c r="F651" s="282"/>
      <c r="G651" s="94"/>
      <c r="H651" s="94"/>
      <c r="I651" s="94"/>
      <c r="J651" s="94"/>
      <c r="K651" s="94"/>
      <c r="L651" s="94"/>
    </row>
    <row r="652" spans="1:12" ht="13.5" customHeight="1">
      <c r="A652" s="94"/>
      <c r="B652" s="94"/>
      <c r="C652" s="94"/>
      <c r="D652" s="94"/>
      <c r="E652" s="282"/>
      <c r="F652" s="282"/>
      <c r="G652" s="94"/>
      <c r="H652" s="94"/>
      <c r="I652" s="94"/>
      <c r="J652" s="94"/>
      <c r="K652" s="94"/>
      <c r="L652" s="94"/>
    </row>
    <row r="653" spans="1:12" ht="13.5" customHeight="1">
      <c r="A653" s="94"/>
      <c r="B653" s="94"/>
      <c r="C653" s="94"/>
      <c r="D653" s="94"/>
      <c r="E653" s="282"/>
      <c r="F653" s="282"/>
      <c r="G653" s="94"/>
      <c r="H653" s="94"/>
      <c r="I653" s="94"/>
      <c r="J653" s="94"/>
      <c r="K653" s="94"/>
      <c r="L653" s="94"/>
    </row>
    <row r="654" spans="1:12" ht="13.5" customHeight="1">
      <c r="A654" s="94"/>
      <c r="B654" s="94"/>
      <c r="C654" s="94"/>
      <c r="D654" s="94"/>
      <c r="E654" s="282"/>
      <c r="F654" s="282"/>
      <c r="G654" s="94"/>
      <c r="H654" s="94"/>
      <c r="I654" s="94"/>
      <c r="J654" s="94"/>
      <c r="K654" s="94"/>
      <c r="L654" s="94"/>
    </row>
    <row r="655" spans="1:12" ht="13.5" customHeight="1">
      <c r="A655" s="94"/>
      <c r="B655" s="94"/>
      <c r="C655" s="94"/>
      <c r="D655" s="94"/>
      <c r="E655" s="282"/>
      <c r="F655" s="282"/>
      <c r="G655" s="94"/>
      <c r="H655" s="94"/>
      <c r="I655" s="94"/>
      <c r="J655" s="94"/>
      <c r="K655" s="94"/>
      <c r="L655" s="94"/>
    </row>
    <row r="656" spans="1:12" ht="13.5" customHeight="1">
      <c r="A656" s="94"/>
      <c r="B656" s="94"/>
      <c r="C656" s="94"/>
      <c r="D656" s="94"/>
      <c r="E656" s="282"/>
      <c r="F656" s="282"/>
      <c r="G656" s="94"/>
      <c r="H656" s="94"/>
      <c r="I656" s="94"/>
      <c r="J656" s="94"/>
      <c r="K656" s="94"/>
      <c r="L656" s="94"/>
    </row>
    <row r="657" spans="1:12" ht="13.5" customHeight="1">
      <c r="A657" s="94"/>
      <c r="B657" s="94"/>
      <c r="C657" s="94"/>
      <c r="D657" s="94"/>
      <c r="E657" s="282"/>
      <c r="F657" s="282"/>
      <c r="G657" s="94"/>
      <c r="H657" s="94"/>
      <c r="I657" s="94"/>
      <c r="J657" s="94"/>
      <c r="K657" s="94"/>
      <c r="L657" s="94"/>
    </row>
    <row r="658" spans="1:12" ht="13.5" customHeight="1">
      <c r="A658" s="94"/>
      <c r="B658" s="94"/>
      <c r="C658" s="94"/>
      <c r="D658" s="94"/>
      <c r="E658" s="282"/>
      <c r="F658" s="282"/>
      <c r="G658" s="94"/>
      <c r="H658" s="94"/>
      <c r="I658" s="94"/>
      <c r="J658" s="94"/>
      <c r="K658" s="94"/>
      <c r="L658" s="94"/>
    </row>
    <row r="659" spans="1:12" ht="13.5" customHeight="1">
      <c r="A659" s="94"/>
      <c r="B659" s="94"/>
      <c r="C659" s="94"/>
      <c r="D659" s="94"/>
      <c r="E659" s="282"/>
      <c r="F659" s="282"/>
      <c r="G659" s="94"/>
      <c r="H659" s="94"/>
      <c r="I659" s="94"/>
      <c r="J659" s="94"/>
      <c r="K659" s="94"/>
      <c r="L659" s="94"/>
    </row>
    <row r="660" spans="1:12" ht="13.5" customHeight="1">
      <c r="A660" s="94"/>
      <c r="B660" s="94"/>
      <c r="C660" s="94"/>
      <c r="D660" s="94"/>
      <c r="E660" s="282"/>
      <c r="F660" s="282"/>
      <c r="G660" s="94"/>
      <c r="H660" s="94"/>
      <c r="I660" s="94"/>
      <c r="J660" s="94"/>
      <c r="K660" s="94"/>
      <c r="L660" s="94"/>
    </row>
    <row r="661" spans="1:12" ht="13.5" customHeight="1">
      <c r="A661" s="94"/>
      <c r="B661" s="94"/>
      <c r="C661" s="94"/>
      <c r="D661" s="94"/>
      <c r="E661" s="282"/>
      <c r="F661" s="282"/>
      <c r="G661" s="94"/>
      <c r="H661" s="94"/>
      <c r="I661" s="94"/>
      <c r="J661" s="94"/>
      <c r="K661" s="94"/>
      <c r="L661" s="94"/>
    </row>
    <row r="662" spans="1:12" ht="13.5" customHeight="1">
      <c r="A662" s="94"/>
      <c r="B662" s="94"/>
      <c r="C662" s="94"/>
      <c r="D662" s="94"/>
      <c r="E662" s="282"/>
      <c r="F662" s="282"/>
      <c r="G662" s="94"/>
      <c r="H662" s="94"/>
      <c r="I662" s="94"/>
      <c r="J662" s="94"/>
      <c r="K662" s="94"/>
      <c r="L662" s="94"/>
    </row>
    <row r="663" spans="1:12" ht="13.5" customHeight="1">
      <c r="A663" s="94"/>
      <c r="B663" s="94"/>
      <c r="C663" s="94"/>
      <c r="D663" s="94"/>
      <c r="E663" s="282"/>
      <c r="F663" s="282"/>
      <c r="G663" s="94"/>
      <c r="H663" s="94"/>
      <c r="I663" s="94"/>
      <c r="J663" s="94"/>
      <c r="K663" s="94"/>
      <c r="L663" s="94"/>
    </row>
    <row r="664" spans="1:12" ht="13.5" customHeight="1">
      <c r="A664" s="94"/>
      <c r="B664" s="94"/>
      <c r="C664" s="94"/>
      <c r="D664" s="94"/>
      <c r="E664" s="282"/>
      <c r="F664" s="282"/>
      <c r="G664" s="94"/>
      <c r="H664" s="94"/>
      <c r="I664" s="94"/>
      <c r="J664" s="94"/>
      <c r="K664" s="94"/>
      <c r="L664" s="94"/>
    </row>
    <row r="665" spans="1:12" ht="13.5" customHeight="1">
      <c r="A665" s="94"/>
      <c r="B665" s="94"/>
      <c r="C665" s="94"/>
      <c r="D665" s="94"/>
      <c r="E665" s="282"/>
      <c r="F665" s="282"/>
      <c r="G665" s="94"/>
      <c r="H665" s="94"/>
      <c r="I665" s="94"/>
      <c r="J665" s="94"/>
      <c r="K665" s="94"/>
      <c r="L665" s="94"/>
    </row>
    <row r="666" spans="1:12" ht="13.5" customHeight="1">
      <c r="A666" s="94"/>
      <c r="B666" s="94"/>
      <c r="C666" s="94"/>
      <c r="D666" s="94"/>
      <c r="E666" s="282"/>
      <c r="F666" s="282"/>
      <c r="G666" s="94"/>
      <c r="H666" s="94"/>
      <c r="I666" s="94"/>
      <c r="J666" s="94"/>
      <c r="K666" s="94"/>
      <c r="L666" s="94"/>
    </row>
    <row r="667" spans="1:12" ht="13.5" customHeight="1">
      <c r="A667" s="94"/>
      <c r="B667" s="94"/>
      <c r="C667" s="94"/>
      <c r="D667" s="94"/>
      <c r="E667" s="282"/>
      <c r="F667" s="282"/>
      <c r="G667" s="94"/>
      <c r="H667" s="94"/>
      <c r="I667" s="94"/>
      <c r="J667" s="94"/>
      <c r="K667" s="94"/>
      <c r="L667" s="94"/>
    </row>
    <row r="668" spans="1:12" ht="13.5" customHeight="1">
      <c r="A668" s="94"/>
      <c r="B668" s="94"/>
      <c r="C668" s="94"/>
      <c r="D668" s="94"/>
      <c r="E668" s="282"/>
      <c r="F668" s="282"/>
      <c r="G668" s="94"/>
      <c r="H668" s="94"/>
      <c r="I668" s="94"/>
      <c r="J668" s="94"/>
      <c r="K668" s="94"/>
      <c r="L668" s="94"/>
    </row>
    <row r="669" spans="1:12" ht="13.5" customHeight="1">
      <c r="A669" s="94"/>
      <c r="B669" s="94"/>
      <c r="C669" s="94"/>
      <c r="D669" s="94"/>
      <c r="E669" s="282"/>
      <c r="F669" s="282"/>
      <c r="G669" s="94"/>
      <c r="H669" s="94"/>
      <c r="I669" s="94"/>
      <c r="J669" s="94"/>
      <c r="K669" s="94"/>
      <c r="L669" s="94"/>
    </row>
    <row r="670" spans="1:12" ht="13.5" customHeight="1">
      <c r="A670" s="94"/>
      <c r="B670" s="94"/>
      <c r="C670" s="94"/>
      <c r="D670" s="94"/>
      <c r="E670" s="282"/>
      <c r="F670" s="282"/>
      <c r="G670" s="94"/>
      <c r="H670" s="94"/>
      <c r="I670" s="94"/>
      <c r="J670" s="94"/>
      <c r="K670" s="94"/>
      <c r="L670" s="94"/>
    </row>
    <row r="671" spans="1:12" ht="13.5" customHeight="1">
      <c r="A671" s="94"/>
      <c r="B671" s="94"/>
      <c r="C671" s="94"/>
      <c r="D671" s="94"/>
      <c r="E671" s="282"/>
      <c r="F671" s="282"/>
      <c r="G671" s="94"/>
      <c r="H671" s="94"/>
      <c r="I671" s="94"/>
      <c r="J671" s="94"/>
      <c r="K671" s="94"/>
      <c r="L671" s="94"/>
    </row>
    <row r="672" spans="1:12" ht="13.5" customHeight="1">
      <c r="A672" s="94"/>
      <c r="B672" s="94"/>
      <c r="C672" s="94"/>
      <c r="D672" s="94"/>
      <c r="E672" s="282"/>
      <c r="F672" s="282"/>
      <c r="G672" s="94"/>
      <c r="H672" s="94"/>
      <c r="I672" s="94"/>
      <c r="J672" s="94"/>
      <c r="K672" s="94"/>
      <c r="L672" s="94"/>
    </row>
    <row r="673" spans="1:12" ht="13.5" customHeight="1">
      <c r="A673" s="94"/>
      <c r="B673" s="94"/>
      <c r="C673" s="94"/>
      <c r="D673" s="94"/>
      <c r="E673" s="282"/>
      <c r="F673" s="282"/>
      <c r="G673" s="94"/>
      <c r="H673" s="94"/>
      <c r="I673" s="94"/>
      <c r="J673" s="94"/>
      <c r="K673" s="94"/>
      <c r="L673" s="94"/>
    </row>
    <row r="674" spans="1:12" ht="13.5" customHeight="1">
      <c r="A674" s="94"/>
      <c r="B674" s="94"/>
      <c r="C674" s="94"/>
      <c r="D674" s="94"/>
      <c r="E674" s="282"/>
      <c r="F674" s="282"/>
      <c r="G674" s="94"/>
      <c r="H674" s="94"/>
      <c r="I674" s="94"/>
      <c r="J674" s="94"/>
      <c r="K674" s="94"/>
      <c r="L674" s="94"/>
    </row>
    <row r="675" spans="1:12" ht="13.5" customHeight="1">
      <c r="A675" s="94"/>
      <c r="B675" s="94"/>
      <c r="C675" s="94"/>
      <c r="D675" s="94"/>
      <c r="E675" s="282"/>
      <c r="F675" s="282"/>
      <c r="G675" s="94"/>
      <c r="H675" s="94"/>
      <c r="I675" s="94"/>
      <c r="J675" s="94"/>
      <c r="K675" s="94"/>
      <c r="L675" s="94"/>
    </row>
    <row r="676" spans="1:12" ht="13.5" customHeight="1">
      <c r="A676" s="94"/>
      <c r="B676" s="94"/>
      <c r="C676" s="94"/>
      <c r="D676" s="94"/>
      <c r="E676" s="282"/>
      <c r="F676" s="282"/>
      <c r="G676" s="94"/>
      <c r="H676" s="94"/>
      <c r="I676" s="94"/>
      <c r="J676" s="94"/>
      <c r="K676" s="94"/>
      <c r="L676" s="94"/>
    </row>
    <row r="677" spans="1:12" ht="13.5" customHeight="1">
      <c r="A677" s="94"/>
      <c r="B677" s="94"/>
      <c r="C677" s="94"/>
      <c r="D677" s="94"/>
      <c r="E677" s="282"/>
      <c r="F677" s="282"/>
      <c r="G677" s="94"/>
      <c r="H677" s="94"/>
      <c r="I677" s="94"/>
      <c r="J677" s="94"/>
      <c r="K677" s="94"/>
      <c r="L677" s="94"/>
    </row>
    <row r="678" spans="1:12" ht="13.5" customHeight="1">
      <c r="A678" s="94"/>
      <c r="B678" s="94"/>
      <c r="C678" s="94"/>
      <c r="D678" s="94"/>
      <c r="E678" s="282"/>
      <c r="F678" s="282"/>
      <c r="G678" s="94"/>
      <c r="H678" s="94"/>
      <c r="I678" s="94"/>
      <c r="J678" s="94"/>
      <c r="K678" s="94"/>
      <c r="L678" s="94"/>
    </row>
    <row r="679" spans="1:12" ht="13.5" customHeight="1">
      <c r="A679" s="94"/>
      <c r="B679" s="94"/>
      <c r="C679" s="94"/>
      <c r="D679" s="94"/>
      <c r="E679" s="282"/>
      <c r="F679" s="282"/>
      <c r="G679" s="94"/>
      <c r="H679" s="94"/>
      <c r="I679" s="94"/>
      <c r="J679" s="94"/>
      <c r="K679" s="94"/>
      <c r="L679" s="94"/>
    </row>
    <row r="680" spans="1:12" ht="13.5" customHeight="1">
      <c r="A680" s="94"/>
      <c r="B680" s="94"/>
      <c r="C680" s="94"/>
      <c r="D680" s="94"/>
      <c r="E680" s="282"/>
      <c r="F680" s="282"/>
      <c r="G680" s="94"/>
      <c r="H680" s="94"/>
      <c r="I680" s="94"/>
      <c r="J680" s="94"/>
      <c r="K680" s="94"/>
      <c r="L680" s="94"/>
    </row>
    <row r="681" spans="1:12" ht="13.5" customHeight="1">
      <c r="A681" s="94"/>
      <c r="B681" s="94"/>
      <c r="C681" s="94"/>
      <c r="D681" s="94"/>
      <c r="E681" s="282"/>
      <c r="F681" s="282"/>
      <c r="G681" s="94"/>
      <c r="H681" s="94"/>
      <c r="I681" s="94"/>
      <c r="J681" s="94"/>
      <c r="K681" s="94"/>
      <c r="L681" s="94"/>
    </row>
    <row r="682" spans="1:12" ht="13.5" customHeight="1">
      <c r="A682" s="94"/>
      <c r="B682" s="94"/>
      <c r="C682" s="94"/>
      <c r="D682" s="94"/>
      <c r="E682" s="282"/>
      <c r="F682" s="282"/>
      <c r="G682" s="94"/>
      <c r="H682" s="94"/>
      <c r="I682" s="94"/>
      <c r="J682" s="94"/>
      <c r="K682" s="94"/>
      <c r="L682" s="94"/>
    </row>
    <row r="683" spans="1:12" ht="13.5" customHeight="1">
      <c r="A683" s="94"/>
      <c r="B683" s="94"/>
      <c r="C683" s="94"/>
      <c r="D683" s="94"/>
      <c r="E683" s="282"/>
      <c r="F683" s="282"/>
      <c r="G683" s="94"/>
      <c r="H683" s="94"/>
      <c r="I683" s="94"/>
      <c r="J683" s="94"/>
      <c r="K683" s="94"/>
      <c r="L683" s="94"/>
    </row>
    <row r="684" spans="1:12" ht="13.5" customHeight="1">
      <c r="A684" s="94"/>
      <c r="B684" s="94"/>
      <c r="C684" s="94"/>
      <c r="D684" s="94"/>
      <c r="E684" s="282"/>
      <c r="F684" s="282"/>
      <c r="G684" s="94"/>
      <c r="H684" s="94"/>
      <c r="I684" s="94"/>
      <c r="J684" s="94"/>
      <c r="K684" s="94"/>
      <c r="L684" s="94"/>
    </row>
    <row r="685" spans="1:12" ht="13.5" customHeight="1">
      <c r="A685" s="94"/>
      <c r="B685" s="94"/>
      <c r="C685" s="94"/>
      <c r="D685" s="94"/>
      <c r="E685" s="282"/>
      <c r="F685" s="282"/>
      <c r="G685" s="94"/>
      <c r="H685" s="94"/>
      <c r="I685" s="94"/>
      <c r="J685" s="94"/>
      <c r="K685" s="94"/>
      <c r="L685" s="94"/>
    </row>
    <row r="686" spans="1:12" ht="13.5" customHeight="1">
      <c r="A686" s="94"/>
      <c r="B686" s="94"/>
      <c r="C686" s="94"/>
      <c r="D686" s="94"/>
      <c r="E686" s="282"/>
      <c r="F686" s="282"/>
      <c r="G686" s="94"/>
      <c r="H686" s="94"/>
      <c r="I686" s="94"/>
      <c r="J686" s="94"/>
      <c r="K686" s="94"/>
      <c r="L686" s="94"/>
    </row>
    <row r="687" spans="1:12" ht="13.5" customHeight="1">
      <c r="A687" s="94"/>
      <c r="B687" s="94"/>
      <c r="C687" s="94"/>
      <c r="D687" s="94"/>
      <c r="E687" s="282"/>
      <c r="F687" s="282"/>
      <c r="G687" s="94"/>
      <c r="H687" s="94"/>
      <c r="I687" s="94"/>
      <c r="J687" s="94"/>
      <c r="K687" s="94"/>
      <c r="L687" s="94"/>
    </row>
    <row r="688" spans="1:12" ht="13.5" customHeight="1">
      <c r="A688" s="94"/>
      <c r="B688" s="94"/>
      <c r="C688" s="94"/>
      <c r="D688" s="94"/>
      <c r="E688" s="282"/>
      <c r="F688" s="282"/>
      <c r="G688" s="94"/>
      <c r="H688" s="94"/>
      <c r="I688" s="94"/>
      <c r="J688" s="94"/>
      <c r="K688" s="94"/>
      <c r="L688" s="94"/>
    </row>
    <row r="689" spans="1:12" ht="13.5" customHeight="1">
      <c r="A689" s="94"/>
      <c r="B689" s="94"/>
      <c r="C689" s="94"/>
      <c r="D689" s="94"/>
      <c r="E689" s="282"/>
      <c r="F689" s="282"/>
      <c r="G689" s="94"/>
      <c r="H689" s="94"/>
      <c r="I689" s="94"/>
      <c r="J689" s="94"/>
      <c r="K689" s="94"/>
      <c r="L689" s="94"/>
    </row>
    <row r="690" spans="1:12" ht="13.5" customHeight="1">
      <c r="A690" s="94"/>
      <c r="B690" s="94"/>
      <c r="C690" s="94"/>
      <c r="D690" s="94"/>
      <c r="E690" s="282"/>
      <c r="F690" s="282"/>
      <c r="G690" s="94"/>
      <c r="H690" s="94"/>
      <c r="I690" s="94"/>
      <c r="J690" s="94"/>
      <c r="K690" s="94"/>
      <c r="L690" s="94"/>
    </row>
    <row r="691" spans="1:12" ht="13.5" customHeight="1">
      <c r="A691" s="94"/>
      <c r="B691" s="94"/>
      <c r="C691" s="94"/>
      <c r="D691" s="94"/>
      <c r="E691" s="282"/>
      <c r="F691" s="282"/>
      <c r="G691" s="94"/>
      <c r="H691" s="94"/>
      <c r="I691" s="94"/>
      <c r="J691" s="94"/>
      <c r="K691" s="94"/>
      <c r="L691" s="94"/>
    </row>
    <row r="692" spans="1:12" ht="13.5" customHeight="1">
      <c r="A692" s="94"/>
      <c r="B692" s="94"/>
      <c r="C692" s="94"/>
      <c r="D692" s="94"/>
      <c r="E692" s="282"/>
      <c r="F692" s="282"/>
      <c r="G692" s="94"/>
      <c r="H692" s="94"/>
      <c r="I692" s="94"/>
      <c r="J692" s="94"/>
      <c r="K692" s="94"/>
      <c r="L692" s="94"/>
    </row>
    <row r="693" spans="1:12" ht="13.5" customHeight="1">
      <c r="A693" s="94"/>
      <c r="B693" s="94"/>
      <c r="C693" s="94"/>
      <c r="D693" s="94"/>
      <c r="E693" s="282"/>
      <c r="F693" s="282"/>
      <c r="G693" s="94"/>
      <c r="H693" s="94"/>
      <c r="I693" s="94"/>
      <c r="J693" s="94"/>
      <c r="K693" s="94"/>
      <c r="L693" s="94"/>
    </row>
    <row r="694" spans="1:12" ht="13.5" customHeight="1">
      <c r="A694" s="94"/>
      <c r="B694" s="94"/>
      <c r="C694" s="94"/>
      <c r="D694" s="94"/>
      <c r="E694" s="282"/>
      <c r="F694" s="282"/>
      <c r="G694" s="94"/>
      <c r="H694" s="94"/>
      <c r="I694" s="94"/>
      <c r="J694" s="94"/>
      <c r="K694" s="94"/>
      <c r="L694" s="94"/>
    </row>
    <row r="695" spans="1:12" ht="13.5" customHeight="1">
      <c r="A695" s="94"/>
      <c r="B695" s="94"/>
      <c r="C695" s="94"/>
      <c r="D695" s="94"/>
      <c r="E695" s="282"/>
      <c r="F695" s="282"/>
      <c r="G695" s="94"/>
      <c r="H695" s="94"/>
      <c r="I695" s="94"/>
      <c r="J695" s="94"/>
      <c r="K695" s="94"/>
      <c r="L695" s="94"/>
    </row>
    <row r="696" spans="1:12" ht="13.5" customHeight="1">
      <c r="A696" s="94"/>
      <c r="B696" s="94"/>
      <c r="C696" s="94"/>
      <c r="D696" s="94"/>
      <c r="E696" s="282"/>
      <c r="F696" s="282"/>
      <c r="G696" s="94"/>
      <c r="H696" s="94"/>
      <c r="I696" s="94"/>
      <c r="J696" s="94"/>
      <c r="K696" s="94"/>
      <c r="L696" s="94"/>
    </row>
    <row r="697" spans="1:12" ht="13.5" customHeight="1">
      <c r="A697" s="94"/>
      <c r="B697" s="94"/>
      <c r="C697" s="94"/>
      <c r="D697" s="94"/>
      <c r="E697" s="282"/>
      <c r="F697" s="282"/>
      <c r="G697" s="94"/>
      <c r="H697" s="94"/>
      <c r="I697" s="94"/>
      <c r="J697" s="94"/>
      <c r="K697" s="94"/>
      <c r="L697" s="94"/>
    </row>
    <row r="698" spans="1:12" ht="13.5" customHeight="1">
      <c r="A698" s="94"/>
      <c r="B698" s="94"/>
      <c r="C698" s="94"/>
      <c r="D698" s="94"/>
      <c r="E698" s="282"/>
      <c r="F698" s="282"/>
      <c r="G698" s="94"/>
      <c r="H698" s="94"/>
      <c r="I698" s="94"/>
      <c r="J698" s="94"/>
      <c r="K698" s="94"/>
      <c r="L698" s="94"/>
    </row>
    <row r="699" spans="1:12" ht="13.5" customHeight="1">
      <c r="A699" s="94"/>
      <c r="B699" s="94"/>
      <c r="C699" s="94"/>
      <c r="D699" s="94"/>
      <c r="E699" s="282"/>
      <c r="F699" s="282"/>
      <c r="G699" s="94"/>
      <c r="H699" s="94"/>
      <c r="I699" s="94"/>
      <c r="J699" s="94"/>
      <c r="K699" s="94"/>
      <c r="L699" s="94"/>
    </row>
    <row r="700" spans="1:12" ht="13.5" customHeight="1">
      <c r="A700" s="94"/>
      <c r="B700" s="94"/>
      <c r="C700" s="94"/>
      <c r="D700" s="94"/>
      <c r="E700" s="282"/>
      <c r="F700" s="282"/>
      <c r="G700" s="94"/>
      <c r="H700" s="94"/>
      <c r="I700" s="94"/>
      <c r="J700" s="94"/>
      <c r="K700" s="94"/>
      <c r="L700" s="94"/>
    </row>
    <row r="701" spans="1:12" ht="13.5" customHeight="1">
      <c r="A701" s="94"/>
      <c r="B701" s="94"/>
      <c r="C701" s="94"/>
      <c r="D701" s="94"/>
      <c r="E701" s="282"/>
      <c r="F701" s="282"/>
      <c r="G701" s="94"/>
      <c r="H701" s="94"/>
      <c r="I701" s="94"/>
      <c r="J701" s="94"/>
      <c r="K701" s="94"/>
      <c r="L701" s="94"/>
    </row>
    <row r="702" spans="1:12" ht="13.5" customHeight="1">
      <c r="A702" s="94"/>
      <c r="B702" s="94"/>
      <c r="C702" s="94"/>
      <c r="D702" s="94"/>
      <c r="E702" s="282"/>
      <c r="F702" s="282"/>
      <c r="G702" s="94"/>
      <c r="H702" s="94"/>
      <c r="I702" s="94"/>
      <c r="J702" s="94"/>
      <c r="K702" s="94"/>
      <c r="L702" s="94"/>
    </row>
    <row r="703" spans="1:12" ht="13.5" customHeight="1">
      <c r="A703" s="94"/>
      <c r="B703" s="94"/>
      <c r="C703" s="94"/>
      <c r="D703" s="94"/>
      <c r="E703" s="282"/>
      <c r="F703" s="282"/>
      <c r="G703" s="94"/>
      <c r="H703" s="94"/>
      <c r="I703" s="94"/>
      <c r="J703" s="94"/>
      <c r="K703" s="94"/>
      <c r="L703" s="94"/>
    </row>
    <row r="704" spans="1:12" ht="13.5" customHeight="1">
      <c r="A704" s="94"/>
      <c r="B704" s="94"/>
      <c r="C704" s="94"/>
      <c r="D704" s="94"/>
      <c r="E704" s="282"/>
      <c r="F704" s="282"/>
      <c r="G704" s="94"/>
      <c r="H704" s="94"/>
      <c r="I704" s="94"/>
      <c r="J704" s="94"/>
      <c r="K704" s="94"/>
      <c r="L704" s="94"/>
    </row>
    <row r="705" spans="1:12" ht="13.5" customHeight="1">
      <c r="A705" s="94"/>
      <c r="B705" s="94"/>
      <c r="C705" s="94"/>
      <c r="D705" s="94"/>
      <c r="E705" s="282"/>
      <c r="F705" s="282"/>
      <c r="G705" s="94"/>
      <c r="H705" s="94"/>
      <c r="I705" s="94"/>
      <c r="J705" s="94"/>
      <c r="K705" s="94"/>
      <c r="L705" s="94"/>
    </row>
    <row r="706" spans="1:12" ht="13.5" customHeight="1">
      <c r="A706" s="94"/>
      <c r="B706" s="94"/>
      <c r="C706" s="94"/>
      <c r="D706" s="94"/>
      <c r="E706" s="282"/>
      <c r="F706" s="282"/>
      <c r="G706" s="94"/>
      <c r="H706" s="94"/>
      <c r="I706" s="94"/>
      <c r="J706" s="94"/>
      <c r="K706" s="94"/>
      <c r="L706" s="94"/>
    </row>
    <row r="707" spans="1:12" ht="13.5" customHeight="1">
      <c r="A707" s="94"/>
      <c r="B707" s="94"/>
      <c r="C707" s="94"/>
      <c r="D707" s="94"/>
      <c r="E707" s="282"/>
      <c r="F707" s="282"/>
      <c r="G707" s="94"/>
      <c r="H707" s="94"/>
      <c r="I707" s="94"/>
      <c r="J707" s="94"/>
      <c r="K707" s="94"/>
      <c r="L707" s="94"/>
    </row>
    <row r="708" spans="1:12" ht="13.5" customHeight="1">
      <c r="A708" s="94"/>
      <c r="B708" s="94"/>
      <c r="C708" s="94"/>
      <c r="D708" s="94"/>
      <c r="E708" s="282"/>
      <c r="F708" s="282"/>
      <c r="G708" s="94"/>
      <c r="H708" s="94"/>
      <c r="I708" s="94"/>
      <c r="J708" s="94"/>
      <c r="K708" s="94"/>
      <c r="L708" s="94"/>
    </row>
    <row r="709" spans="1:12" ht="13.5" customHeight="1">
      <c r="A709" s="94"/>
      <c r="B709" s="94"/>
      <c r="C709" s="94"/>
      <c r="D709" s="94"/>
      <c r="E709" s="282"/>
      <c r="F709" s="282"/>
      <c r="G709" s="94"/>
      <c r="H709" s="94"/>
      <c r="I709" s="94"/>
      <c r="J709" s="94"/>
      <c r="K709" s="94"/>
      <c r="L709" s="94"/>
    </row>
    <row r="710" spans="1:12" ht="13.5" customHeight="1">
      <c r="A710" s="94"/>
      <c r="B710" s="94"/>
      <c r="C710" s="94"/>
      <c r="D710" s="94"/>
      <c r="E710" s="282"/>
      <c r="F710" s="282"/>
      <c r="G710" s="94"/>
      <c r="H710" s="94"/>
      <c r="I710" s="94"/>
      <c r="J710" s="94"/>
      <c r="K710" s="94"/>
      <c r="L710" s="94"/>
    </row>
    <row r="711" spans="1:12" ht="13.5" customHeight="1">
      <c r="A711" s="94"/>
      <c r="B711" s="94"/>
      <c r="C711" s="94"/>
      <c r="D711" s="94"/>
      <c r="E711" s="282"/>
      <c r="F711" s="282"/>
      <c r="G711" s="94"/>
      <c r="H711" s="94"/>
      <c r="I711" s="94"/>
      <c r="J711" s="94"/>
      <c r="K711" s="94"/>
      <c r="L711" s="94"/>
    </row>
    <row r="712" spans="1:12" ht="13.5" customHeight="1">
      <c r="A712" s="94"/>
      <c r="B712" s="94"/>
      <c r="C712" s="94"/>
      <c r="D712" s="94"/>
      <c r="E712" s="282"/>
      <c r="F712" s="282"/>
      <c r="G712" s="94"/>
      <c r="H712" s="94"/>
      <c r="I712" s="94"/>
      <c r="J712" s="94"/>
      <c r="K712" s="94"/>
      <c r="L712" s="94"/>
    </row>
    <row r="713" spans="1:12" ht="13.5" customHeight="1">
      <c r="A713" s="94"/>
      <c r="B713" s="94"/>
      <c r="C713" s="94"/>
      <c r="D713" s="94"/>
      <c r="E713" s="282"/>
      <c r="F713" s="282"/>
      <c r="G713" s="94"/>
      <c r="H713" s="94"/>
      <c r="I713" s="94"/>
      <c r="J713" s="94"/>
      <c r="K713" s="94"/>
      <c r="L713" s="94"/>
    </row>
    <row r="714" spans="1:12" ht="13.5" customHeight="1">
      <c r="A714" s="94"/>
      <c r="B714" s="94"/>
      <c r="C714" s="94"/>
      <c r="D714" s="94"/>
      <c r="E714" s="282"/>
      <c r="F714" s="282"/>
      <c r="G714" s="94"/>
      <c r="H714" s="94"/>
      <c r="I714" s="94"/>
      <c r="J714" s="94"/>
      <c r="K714" s="94"/>
      <c r="L714" s="94"/>
    </row>
    <row r="715" spans="1:12" ht="13.5" customHeight="1">
      <c r="A715" s="94"/>
      <c r="B715" s="94"/>
      <c r="C715" s="94"/>
      <c r="D715" s="94"/>
      <c r="E715" s="282"/>
      <c r="F715" s="282"/>
      <c r="G715" s="94"/>
      <c r="H715" s="94"/>
      <c r="I715" s="94"/>
      <c r="J715" s="94"/>
      <c r="K715" s="94"/>
      <c r="L715" s="94"/>
    </row>
    <row r="716" spans="1:12" ht="13.5" customHeight="1">
      <c r="A716" s="94"/>
      <c r="B716" s="94"/>
      <c r="C716" s="94"/>
      <c r="D716" s="94"/>
      <c r="E716" s="282"/>
      <c r="F716" s="282"/>
      <c r="G716" s="94"/>
      <c r="H716" s="94"/>
      <c r="I716" s="94"/>
      <c r="J716" s="94"/>
      <c r="K716" s="94"/>
      <c r="L716" s="94"/>
    </row>
    <row r="717" spans="1:12" ht="13.5" customHeight="1">
      <c r="A717" s="94"/>
      <c r="B717" s="94"/>
      <c r="C717" s="94"/>
      <c r="D717" s="94"/>
      <c r="E717" s="282"/>
      <c r="F717" s="282"/>
      <c r="G717" s="94"/>
      <c r="H717" s="94"/>
      <c r="I717" s="94"/>
      <c r="J717" s="94"/>
      <c r="K717" s="94"/>
      <c r="L717" s="94"/>
    </row>
    <row r="718" spans="1:12" ht="13.5" customHeight="1">
      <c r="A718" s="94"/>
      <c r="B718" s="94"/>
      <c r="C718" s="94"/>
      <c r="D718" s="94"/>
      <c r="E718" s="282"/>
      <c r="F718" s="282"/>
      <c r="G718" s="94"/>
      <c r="H718" s="94"/>
      <c r="I718" s="94"/>
      <c r="J718" s="94"/>
      <c r="K718" s="94"/>
      <c r="L718" s="94"/>
    </row>
    <row r="719" spans="1:12" ht="13.5" customHeight="1">
      <c r="A719" s="94"/>
      <c r="B719" s="94"/>
      <c r="C719" s="94"/>
      <c r="D719" s="94"/>
      <c r="E719" s="282"/>
      <c r="F719" s="282"/>
      <c r="G719" s="94"/>
      <c r="H719" s="94"/>
      <c r="I719" s="94"/>
      <c r="J719" s="94"/>
      <c r="K719" s="94"/>
      <c r="L719" s="94"/>
    </row>
    <row r="720" spans="1:12" ht="13.5" customHeight="1">
      <c r="A720" s="94"/>
      <c r="B720" s="94"/>
      <c r="C720" s="94"/>
      <c r="D720" s="94"/>
      <c r="E720" s="282"/>
      <c r="F720" s="282"/>
      <c r="G720" s="94"/>
      <c r="H720" s="94"/>
      <c r="I720" s="94"/>
      <c r="J720" s="94"/>
      <c r="K720" s="94"/>
      <c r="L720" s="94"/>
    </row>
    <row r="721" spans="1:12" ht="13.5" customHeight="1">
      <c r="A721" s="94"/>
      <c r="B721" s="94"/>
      <c r="C721" s="94"/>
      <c r="D721" s="94"/>
      <c r="E721" s="282"/>
      <c r="F721" s="282"/>
      <c r="G721" s="94"/>
      <c r="H721" s="94"/>
      <c r="I721" s="94"/>
      <c r="J721" s="94"/>
      <c r="K721" s="94"/>
      <c r="L721" s="94"/>
    </row>
    <row r="722" spans="1:12" ht="13.5" customHeight="1">
      <c r="A722" s="94"/>
      <c r="B722" s="94"/>
      <c r="C722" s="94"/>
      <c r="D722" s="94"/>
      <c r="E722" s="282"/>
      <c r="F722" s="282"/>
      <c r="G722" s="94"/>
      <c r="H722" s="94"/>
      <c r="I722" s="94"/>
      <c r="J722" s="94"/>
      <c r="K722" s="94"/>
      <c r="L722" s="94"/>
    </row>
    <row r="723" spans="1:12" ht="13.5" customHeight="1">
      <c r="A723" s="94"/>
      <c r="B723" s="94"/>
      <c r="C723" s="94"/>
      <c r="D723" s="94"/>
      <c r="E723" s="282"/>
      <c r="F723" s="282"/>
      <c r="G723" s="94"/>
      <c r="H723" s="94"/>
      <c r="I723" s="94"/>
      <c r="J723" s="94"/>
      <c r="K723" s="94"/>
      <c r="L723" s="94"/>
    </row>
    <row r="724" spans="1:12" ht="13.5" customHeight="1">
      <c r="A724" s="94"/>
      <c r="B724" s="94"/>
      <c r="C724" s="94"/>
      <c r="D724" s="94"/>
      <c r="E724" s="282"/>
      <c r="F724" s="282"/>
      <c r="G724" s="94"/>
      <c r="H724" s="94"/>
      <c r="I724" s="94"/>
      <c r="J724" s="94"/>
      <c r="K724" s="94"/>
      <c r="L724" s="94"/>
    </row>
    <row r="725" spans="1:12" ht="13.5" customHeight="1">
      <c r="A725" s="94"/>
      <c r="B725" s="94"/>
      <c r="C725" s="94"/>
      <c r="D725" s="94"/>
      <c r="E725" s="282"/>
      <c r="F725" s="282"/>
      <c r="G725" s="94"/>
      <c r="H725" s="94"/>
      <c r="I725" s="94"/>
      <c r="J725" s="94"/>
      <c r="K725" s="94"/>
      <c r="L725" s="94"/>
    </row>
    <row r="726" spans="1:12" ht="13.5" customHeight="1">
      <c r="A726" s="94"/>
      <c r="B726" s="94"/>
      <c r="C726" s="94"/>
      <c r="D726" s="94"/>
      <c r="E726" s="282"/>
      <c r="F726" s="282"/>
      <c r="G726" s="94"/>
      <c r="H726" s="94"/>
      <c r="I726" s="94"/>
      <c r="J726" s="94"/>
      <c r="K726" s="94"/>
      <c r="L726" s="94"/>
    </row>
    <row r="727" spans="1:12" ht="13.5" customHeight="1">
      <c r="A727" s="94"/>
      <c r="B727" s="94"/>
      <c r="C727" s="94"/>
      <c r="D727" s="94"/>
      <c r="E727" s="282"/>
      <c r="F727" s="282"/>
      <c r="G727" s="94"/>
      <c r="H727" s="94"/>
      <c r="I727" s="94"/>
      <c r="J727" s="94"/>
      <c r="K727" s="94"/>
      <c r="L727" s="94"/>
    </row>
    <row r="728" spans="1:12" ht="13.5" customHeight="1">
      <c r="A728" s="94"/>
      <c r="B728" s="94"/>
      <c r="C728" s="94"/>
      <c r="D728" s="94"/>
      <c r="E728" s="282"/>
      <c r="F728" s="282"/>
      <c r="G728" s="94"/>
      <c r="H728" s="94"/>
      <c r="I728" s="94"/>
      <c r="J728" s="94"/>
      <c r="K728" s="94"/>
      <c r="L728" s="94"/>
    </row>
    <row r="729" spans="1:12" ht="13.5" customHeight="1">
      <c r="A729" s="94"/>
      <c r="B729" s="94"/>
      <c r="C729" s="94"/>
      <c r="D729" s="94"/>
      <c r="E729" s="282"/>
      <c r="F729" s="282"/>
      <c r="G729" s="94"/>
      <c r="H729" s="94"/>
      <c r="I729" s="94"/>
      <c r="J729" s="94"/>
      <c r="K729" s="94"/>
      <c r="L729" s="94"/>
    </row>
    <row r="730" spans="1:12" ht="13.5" customHeight="1">
      <c r="A730" s="94"/>
      <c r="B730" s="94"/>
      <c r="C730" s="94"/>
      <c r="D730" s="94"/>
      <c r="E730" s="282"/>
      <c r="F730" s="282"/>
      <c r="G730" s="94"/>
      <c r="H730" s="94"/>
      <c r="I730" s="94"/>
      <c r="J730" s="94"/>
      <c r="K730" s="94"/>
      <c r="L730" s="94"/>
    </row>
    <row r="731" spans="1:12" ht="13.5" customHeight="1">
      <c r="A731" s="94"/>
      <c r="B731" s="94"/>
      <c r="C731" s="94"/>
      <c r="D731" s="94"/>
      <c r="E731" s="282"/>
      <c r="F731" s="282"/>
      <c r="G731" s="94"/>
      <c r="H731" s="94"/>
      <c r="I731" s="94"/>
      <c r="J731" s="94"/>
      <c r="K731" s="94"/>
      <c r="L731" s="94"/>
    </row>
    <row r="732" spans="1:12" ht="13.5" customHeight="1">
      <c r="A732" s="94"/>
      <c r="B732" s="94"/>
      <c r="C732" s="94"/>
      <c r="D732" s="94"/>
      <c r="E732" s="282"/>
      <c r="F732" s="282"/>
      <c r="G732" s="94"/>
      <c r="H732" s="94"/>
      <c r="I732" s="94"/>
      <c r="J732" s="94"/>
      <c r="K732" s="94"/>
      <c r="L732" s="94"/>
    </row>
    <row r="733" spans="1:12" ht="13.5" customHeight="1">
      <c r="A733" s="94"/>
      <c r="B733" s="94"/>
      <c r="C733" s="94"/>
      <c r="D733" s="94"/>
      <c r="E733" s="282"/>
      <c r="F733" s="282"/>
      <c r="G733" s="94"/>
      <c r="H733" s="94"/>
      <c r="I733" s="94"/>
      <c r="J733" s="94"/>
      <c r="K733" s="94"/>
      <c r="L733" s="94"/>
    </row>
    <row r="734" spans="1:12" ht="13.5" customHeight="1">
      <c r="A734" s="94"/>
      <c r="B734" s="94"/>
      <c r="C734" s="94"/>
      <c r="D734" s="94"/>
      <c r="E734" s="282"/>
      <c r="F734" s="282"/>
      <c r="G734" s="94"/>
      <c r="H734" s="94"/>
      <c r="I734" s="94"/>
      <c r="J734" s="94"/>
      <c r="K734" s="94"/>
      <c r="L734" s="94"/>
    </row>
    <row r="735" spans="1:12" ht="13.5" customHeight="1">
      <c r="A735" s="94"/>
      <c r="B735" s="94"/>
      <c r="C735" s="94"/>
      <c r="D735" s="94"/>
      <c r="E735" s="282"/>
      <c r="F735" s="282"/>
      <c r="G735" s="94"/>
      <c r="H735" s="94"/>
      <c r="I735" s="94"/>
      <c r="J735" s="94"/>
      <c r="K735" s="94"/>
      <c r="L735" s="94"/>
    </row>
    <row r="736" spans="1:12" ht="13.5" customHeight="1">
      <c r="A736" s="94"/>
      <c r="B736" s="94"/>
      <c r="C736" s="94"/>
      <c r="D736" s="94"/>
      <c r="E736" s="282"/>
      <c r="F736" s="282"/>
      <c r="G736" s="94"/>
      <c r="H736" s="94"/>
      <c r="I736" s="94"/>
      <c r="J736" s="94"/>
      <c r="K736" s="94"/>
      <c r="L736" s="94"/>
    </row>
    <row r="737" spans="1:12" ht="13.5" customHeight="1">
      <c r="A737" s="94"/>
      <c r="B737" s="94"/>
      <c r="C737" s="94"/>
      <c r="D737" s="94"/>
      <c r="E737" s="282"/>
      <c r="F737" s="282"/>
      <c r="G737" s="94"/>
      <c r="H737" s="94"/>
      <c r="I737" s="94"/>
      <c r="J737" s="94"/>
      <c r="K737" s="94"/>
      <c r="L737" s="94"/>
    </row>
    <row r="738" spans="1:12" ht="13.5" customHeight="1">
      <c r="A738" s="94"/>
      <c r="B738" s="94"/>
      <c r="C738" s="94"/>
      <c r="D738" s="94"/>
      <c r="E738" s="282"/>
      <c r="F738" s="282"/>
      <c r="G738" s="94"/>
      <c r="H738" s="94"/>
      <c r="I738" s="94"/>
      <c r="J738" s="94"/>
      <c r="K738" s="94"/>
      <c r="L738" s="94"/>
    </row>
    <row r="739" spans="1:12" ht="13.5" customHeight="1">
      <c r="A739" s="94"/>
      <c r="B739" s="94"/>
      <c r="C739" s="94"/>
      <c r="D739" s="94"/>
      <c r="E739" s="282"/>
      <c r="F739" s="282"/>
      <c r="G739" s="94"/>
      <c r="H739" s="94"/>
      <c r="I739" s="94"/>
      <c r="J739" s="94"/>
      <c r="K739" s="94"/>
      <c r="L739" s="94"/>
    </row>
    <row r="740" spans="1:12" ht="13.5" customHeight="1">
      <c r="A740" s="94"/>
      <c r="B740" s="94"/>
      <c r="C740" s="94"/>
      <c r="D740" s="94"/>
      <c r="E740" s="282"/>
      <c r="F740" s="282"/>
      <c r="G740" s="94"/>
      <c r="H740" s="94"/>
      <c r="I740" s="94"/>
      <c r="J740" s="94"/>
      <c r="K740" s="94"/>
      <c r="L740" s="94"/>
    </row>
    <row r="741" spans="1:12" ht="13.5" customHeight="1">
      <c r="A741" s="94"/>
      <c r="B741" s="94"/>
      <c r="C741" s="94"/>
      <c r="D741" s="94"/>
      <c r="E741" s="282"/>
      <c r="F741" s="282"/>
      <c r="G741" s="94"/>
      <c r="H741" s="94"/>
      <c r="I741" s="94"/>
      <c r="J741" s="94"/>
      <c r="K741" s="94"/>
      <c r="L741" s="94"/>
    </row>
    <row r="742" spans="1:12" ht="13.5" customHeight="1">
      <c r="A742" s="94"/>
      <c r="B742" s="94"/>
      <c r="C742" s="94"/>
      <c r="D742" s="94"/>
      <c r="E742" s="282"/>
      <c r="F742" s="282"/>
      <c r="G742" s="94"/>
      <c r="H742" s="94"/>
      <c r="I742" s="94"/>
      <c r="J742" s="94"/>
      <c r="K742" s="94"/>
      <c r="L742" s="94"/>
    </row>
    <row r="743" spans="1:12" ht="13.5" customHeight="1">
      <c r="A743" s="94"/>
      <c r="B743" s="94"/>
      <c r="C743" s="94"/>
      <c r="D743" s="94"/>
      <c r="E743" s="282"/>
      <c r="F743" s="282"/>
      <c r="G743" s="94"/>
      <c r="H743" s="94"/>
      <c r="I743" s="94"/>
      <c r="J743" s="94"/>
      <c r="K743" s="94"/>
      <c r="L743" s="94"/>
    </row>
    <row r="744" spans="1:12" ht="13.5" customHeight="1">
      <c r="A744" s="94"/>
      <c r="B744" s="94"/>
      <c r="C744" s="94"/>
      <c r="D744" s="94"/>
      <c r="E744" s="282"/>
      <c r="F744" s="282"/>
      <c r="G744" s="94"/>
      <c r="H744" s="94"/>
      <c r="I744" s="94"/>
      <c r="J744" s="94"/>
      <c r="K744" s="94"/>
      <c r="L744" s="94"/>
    </row>
    <row r="745" spans="1:12" ht="13.5" customHeight="1">
      <c r="A745" s="94"/>
      <c r="B745" s="94"/>
      <c r="C745" s="94"/>
      <c r="D745" s="94"/>
      <c r="E745" s="282"/>
      <c r="F745" s="282"/>
      <c r="G745" s="94"/>
      <c r="H745" s="94"/>
      <c r="I745" s="94"/>
      <c r="J745" s="94"/>
      <c r="K745" s="94"/>
      <c r="L745" s="94"/>
    </row>
    <row r="746" spans="1:12" ht="13.5" customHeight="1">
      <c r="A746" s="94"/>
      <c r="B746" s="94"/>
      <c r="C746" s="94"/>
      <c r="D746" s="94"/>
      <c r="E746" s="282"/>
      <c r="F746" s="282"/>
      <c r="G746" s="94"/>
      <c r="H746" s="94"/>
      <c r="I746" s="94"/>
      <c r="J746" s="94"/>
      <c r="K746" s="94"/>
      <c r="L746" s="94"/>
    </row>
    <row r="747" spans="1:12" ht="13.5" customHeight="1">
      <c r="A747" s="94"/>
      <c r="B747" s="94"/>
      <c r="C747" s="94"/>
      <c r="D747" s="94"/>
      <c r="E747" s="282"/>
      <c r="F747" s="282"/>
      <c r="G747" s="94"/>
      <c r="H747" s="94"/>
      <c r="I747" s="94"/>
      <c r="J747" s="94"/>
      <c r="K747" s="94"/>
      <c r="L747" s="94"/>
    </row>
    <row r="748" spans="1:12" ht="13.5" customHeight="1">
      <c r="A748" s="94"/>
      <c r="B748" s="94"/>
      <c r="C748" s="94"/>
      <c r="D748" s="94"/>
      <c r="E748" s="282"/>
      <c r="F748" s="282"/>
      <c r="G748" s="94"/>
      <c r="H748" s="94"/>
      <c r="I748" s="94"/>
      <c r="J748" s="94"/>
      <c r="K748" s="94"/>
      <c r="L748" s="94"/>
    </row>
    <row r="749" spans="1:12" ht="13.5" customHeight="1">
      <c r="A749" s="94"/>
      <c r="B749" s="94"/>
      <c r="C749" s="94"/>
      <c r="D749" s="94"/>
      <c r="E749" s="282"/>
      <c r="F749" s="282"/>
      <c r="G749" s="94"/>
      <c r="H749" s="94"/>
      <c r="I749" s="94"/>
      <c r="J749" s="94"/>
      <c r="K749" s="94"/>
      <c r="L749" s="94"/>
    </row>
    <row r="750" spans="1:12" ht="13.5" customHeight="1">
      <c r="A750" s="94"/>
      <c r="B750" s="94"/>
      <c r="C750" s="94"/>
      <c r="D750" s="94"/>
      <c r="E750" s="282"/>
      <c r="F750" s="282"/>
      <c r="G750" s="94"/>
      <c r="H750" s="94"/>
      <c r="I750" s="94"/>
      <c r="J750" s="94"/>
      <c r="K750" s="94"/>
      <c r="L750" s="94"/>
    </row>
    <row r="751" spans="1:12" ht="13.5" customHeight="1">
      <c r="A751" s="94"/>
      <c r="B751" s="94"/>
      <c r="C751" s="94"/>
      <c r="D751" s="94"/>
      <c r="E751" s="282"/>
      <c r="F751" s="282"/>
      <c r="G751" s="94"/>
      <c r="H751" s="94"/>
      <c r="I751" s="94"/>
      <c r="J751" s="94"/>
      <c r="K751" s="94"/>
      <c r="L751" s="94"/>
    </row>
    <row r="752" spans="1:12" ht="13.5" customHeight="1">
      <c r="A752" s="94"/>
      <c r="B752" s="94"/>
      <c r="C752" s="94"/>
      <c r="D752" s="94"/>
      <c r="E752" s="282"/>
      <c r="F752" s="282"/>
      <c r="G752" s="94"/>
      <c r="H752" s="94"/>
      <c r="I752" s="94"/>
      <c r="J752" s="94"/>
      <c r="K752" s="94"/>
      <c r="L752" s="94"/>
    </row>
    <row r="753" spans="1:12" ht="13.5" customHeight="1">
      <c r="A753" s="94"/>
      <c r="B753" s="94"/>
      <c r="C753" s="94"/>
      <c r="D753" s="94"/>
      <c r="E753" s="282"/>
      <c r="F753" s="282"/>
      <c r="G753" s="94"/>
      <c r="H753" s="94"/>
      <c r="I753" s="94"/>
      <c r="J753" s="94"/>
      <c r="K753" s="94"/>
      <c r="L753" s="94"/>
    </row>
    <row r="754" spans="1:12" ht="13.5" customHeight="1">
      <c r="A754" s="94"/>
      <c r="B754" s="94"/>
      <c r="C754" s="94"/>
      <c r="D754" s="94"/>
      <c r="E754" s="282"/>
      <c r="F754" s="282"/>
      <c r="G754" s="94"/>
      <c r="H754" s="94"/>
      <c r="I754" s="94"/>
      <c r="J754" s="94"/>
      <c r="K754" s="94"/>
      <c r="L754" s="94"/>
    </row>
    <row r="755" spans="1:12" ht="13.5" customHeight="1">
      <c r="A755" s="94"/>
      <c r="B755" s="94"/>
      <c r="C755" s="94"/>
      <c r="D755" s="94"/>
      <c r="E755" s="282"/>
      <c r="F755" s="282"/>
      <c r="G755" s="94"/>
      <c r="H755" s="94"/>
      <c r="I755" s="94"/>
      <c r="J755" s="94"/>
      <c r="K755" s="94"/>
      <c r="L755" s="94"/>
    </row>
    <row r="756" spans="1:12" ht="13.5" customHeight="1">
      <c r="A756" s="94"/>
      <c r="B756" s="94"/>
      <c r="C756" s="94"/>
      <c r="D756" s="94"/>
      <c r="E756" s="282"/>
      <c r="F756" s="282"/>
      <c r="G756" s="94"/>
      <c r="H756" s="94"/>
      <c r="I756" s="94"/>
      <c r="J756" s="94"/>
      <c r="K756" s="94"/>
      <c r="L756" s="94"/>
    </row>
    <row r="757" spans="1:12" ht="13.5" customHeight="1">
      <c r="A757" s="94"/>
      <c r="B757" s="94"/>
      <c r="C757" s="94"/>
      <c r="D757" s="94"/>
      <c r="E757" s="282"/>
      <c r="F757" s="282"/>
      <c r="G757" s="94"/>
      <c r="H757" s="94"/>
      <c r="I757" s="94"/>
      <c r="J757" s="94"/>
      <c r="K757" s="94"/>
      <c r="L757" s="94"/>
    </row>
    <row r="758" spans="1:12" ht="13.5" customHeight="1">
      <c r="A758" s="94"/>
      <c r="B758" s="94"/>
      <c r="C758" s="94"/>
      <c r="D758" s="94"/>
      <c r="E758" s="282"/>
      <c r="F758" s="282"/>
      <c r="G758" s="94"/>
      <c r="H758" s="94"/>
      <c r="I758" s="94"/>
      <c r="J758" s="94"/>
      <c r="K758" s="94"/>
      <c r="L758" s="94"/>
    </row>
    <row r="759" spans="1:12" ht="13.5" customHeight="1">
      <c r="A759" s="94"/>
      <c r="B759" s="94"/>
      <c r="C759" s="94"/>
      <c r="D759" s="94"/>
      <c r="E759" s="282"/>
      <c r="F759" s="282"/>
      <c r="G759" s="94"/>
      <c r="H759" s="94"/>
      <c r="I759" s="94"/>
      <c r="J759" s="94"/>
      <c r="K759" s="94"/>
      <c r="L759" s="94"/>
    </row>
    <row r="760" spans="1:12" ht="13.5" customHeight="1">
      <c r="A760" s="94"/>
      <c r="B760" s="94"/>
      <c r="C760" s="94"/>
      <c r="D760" s="94"/>
      <c r="E760" s="282"/>
      <c r="F760" s="282"/>
      <c r="G760" s="94"/>
      <c r="H760" s="94"/>
      <c r="I760" s="94"/>
      <c r="J760" s="94"/>
      <c r="K760" s="94"/>
      <c r="L760" s="94"/>
    </row>
    <row r="761" spans="1:12" ht="13.5" customHeight="1">
      <c r="A761" s="94"/>
      <c r="B761" s="94"/>
      <c r="C761" s="94"/>
      <c r="D761" s="94"/>
      <c r="E761" s="282"/>
      <c r="F761" s="282"/>
      <c r="G761" s="94"/>
      <c r="H761" s="94"/>
      <c r="I761" s="94"/>
      <c r="J761" s="94"/>
      <c r="K761" s="94"/>
      <c r="L761" s="94"/>
    </row>
    <row r="762" spans="1:12" ht="13.5" customHeight="1">
      <c r="A762" s="94"/>
      <c r="B762" s="94"/>
      <c r="C762" s="94"/>
      <c r="D762" s="94"/>
      <c r="E762" s="282"/>
      <c r="F762" s="282"/>
      <c r="G762" s="94"/>
      <c r="H762" s="94"/>
      <c r="I762" s="94"/>
      <c r="J762" s="94"/>
      <c r="K762" s="94"/>
      <c r="L762" s="94"/>
    </row>
    <row r="763" spans="1:12" ht="13.5" customHeight="1">
      <c r="A763" s="94"/>
      <c r="B763" s="94"/>
      <c r="C763" s="94"/>
      <c r="D763" s="94"/>
      <c r="E763" s="282"/>
      <c r="F763" s="282"/>
      <c r="G763" s="94"/>
      <c r="H763" s="94"/>
      <c r="I763" s="94"/>
      <c r="J763" s="94"/>
      <c r="K763" s="94"/>
      <c r="L763" s="94"/>
    </row>
    <row r="764" spans="1:12" ht="13.5" customHeight="1">
      <c r="A764" s="94"/>
      <c r="B764" s="94"/>
      <c r="C764" s="94"/>
      <c r="D764" s="94"/>
      <c r="E764" s="282"/>
      <c r="F764" s="282"/>
      <c r="G764" s="94"/>
      <c r="H764" s="94"/>
      <c r="I764" s="94"/>
      <c r="J764" s="94"/>
      <c r="K764" s="94"/>
      <c r="L764" s="94"/>
    </row>
    <row r="765" spans="1:12" ht="13.5" customHeight="1">
      <c r="A765" s="94"/>
      <c r="B765" s="94"/>
      <c r="C765" s="94"/>
      <c r="D765" s="94"/>
      <c r="E765" s="282"/>
      <c r="F765" s="282"/>
      <c r="G765" s="94"/>
      <c r="H765" s="94"/>
      <c r="I765" s="94"/>
      <c r="J765" s="94"/>
      <c r="K765" s="94"/>
      <c r="L765" s="94"/>
    </row>
    <row r="766" spans="1:12" ht="13.5" customHeight="1">
      <c r="A766" s="94"/>
      <c r="B766" s="94"/>
      <c r="C766" s="94"/>
      <c r="D766" s="94"/>
      <c r="E766" s="282"/>
      <c r="F766" s="282"/>
      <c r="G766" s="94"/>
      <c r="H766" s="94"/>
      <c r="I766" s="94"/>
      <c r="J766" s="94"/>
      <c r="K766" s="94"/>
      <c r="L766" s="94"/>
    </row>
    <row r="767" spans="1:12" ht="13.5" customHeight="1">
      <c r="A767" s="94"/>
      <c r="B767" s="94"/>
      <c r="C767" s="94"/>
      <c r="D767" s="94"/>
      <c r="E767" s="282"/>
      <c r="F767" s="282"/>
      <c r="G767" s="94"/>
      <c r="H767" s="94"/>
      <c r="I767" s="94"/>
      <c r="J767" s="94"/>
      <c r="K767" s="94"/>
      <c r="L767" s="94"/>
    </row>
    <row r="768" spans="1:12" ht="13.5" customHeight="1">
      <c r="A768" s="94"/>
      <c r="B768" s="94"/>
      <c r="C768" s="94"/>
      <c r="D768" s="94"/>
      <c r="E768" s="282"/>
      <c r="F768" s="282"/>
      <c r="G768" s="94"/>
      <c r="H768" s="94"/>
      <c r="I768" s="94"/>
      <c r="J768" s="94"/>
      <c r="K768" s="94"/>
      <c r="L768" s="94"/>
    </row>
    <row r="769" spans="1:12" ht="13.5" customHeight="1">
      <c r="A769" s="94"/>
      <c r="B769" s="94"/>
      <c r="C769" s="94"/>
      <c r="D769" s="94"/>
      <c r="E769" s="282"/>
      <c r="F769" s="282"/>
      <c r="G769" s="94"/>
      <c r="H769" s="94"/>
      <c r="I769" s="94"/>
      <c r="J769" s="94"/>
      <c r="K769" s="94"/>
      <c r="L769" s="94"/>
    </row>
    <row r="770" spans="1:12" ht="13.5" customHeight="1">
      <c r="A770" s="94"/>
      <c r="B770" s="94"/>
      <c r="C770" s="94"/>
      <c r="D770" s="94"/>
      <c r="E770" s="282"/>
      <c r="F770" s="282"/>
      <c r="G770" s="94"/>
      <c r="H770" s="94"/>
      <c r="I770" s="94"/>
      <c r="J770" s="94"/>
      <c r="K770" s="94"/>
      <c r="L770" s="94"/>
    </row>
    <row r="771" spans="1:12" ht="13.5" customHeight="1">
      <c r="A771" s="94"/>
      <c r="B771" s="94"/>
      <c r="C771" s="94"/>
      <c r="D771" s="94"/>
      <c r="E771" s="282"/>
      <c r="F771" s="282"/>
      <c r="G771" s="94"/>
      <c r="H771" s="94"/>
      <c r="I771" s="94"/>
      <c r="J771" s="94"/>
      <c r="K771" s="94"/>
      <c r="L771" s="94"/>
    </row>
    <row r="772" spans="1:12" ht="13.5" customHeight="1">
      <c r="A772" s="94"/>
      <c r="B772" s="94"/>
      <c r="C772" s="94"/>
      <c r="D772" s="94"/>
      <c r="E772" s="282"/>
      <c r="F772" s="282"/>
      <c r="G772" s="94"/>
      <c r="H772" s="94"/>
      <c r="I772" s="94"/>
      <c r="J772" s="94"/>
      <c r="K772" s="94"/>
      <c r="L772" s="94"/>
    </row>
    <row r="773" spans="1:12" ht="13.5" customHeight="1">
      <c r="A773" s="94"/>
      <c r="B773" s="94"/>
      <c r="C773" s="94"/>
      <c r="D773" s="94"/>
      <c r="E773" s="282"/>
      <c r="F773" s="282"/>
      <c r="G773" s="94"/>
      <c r="H773" s="94"/>
      <c r="I773" s="94"/>
      <c r="J773" s="94"/>
      <c r="K773" s="94"/>
      <c r="L773" s="94"/>
    </row>
    <row r="774" spans="1:12" ht="13.5" customHeight="1">
      <c r="A774" s="94"/>
      <c r="B774" s="94"/>
      <c r="C774" s="94"/>
      <c r="D774" s="94"/>
      <c r="E774" s="282"/>
      <c r="F774" s="282"/>
      <c r="G774" s="94"/>
      <c r="H774" s="94"/>
      <c r="I774" s="94"/>
      <c r="J774" s="94"/>
      <c r="K774" s="94"/>
      <c r="L774" s="94"/>
    </row>
    <row r="775" spans="1:12" ht="13.5" customHeight="1">
      <c r="A775" s="94"/>
      <c r="B775" s="94"/>
      <c r="C775" s="94"/>
      <c r="D775" s="94"/>
      <c r="E775" s="282"/>
      <c r="F775" s="282"/>
      <c r="G775" s="94"/>
      <c r="H775" s="94"/>
      <c r="I775" s="94"/>
      <c r="J775" s="94"/>
      <c r="K775" s="94"/>
      <c r="L775" s="94"/>
    </row>
    <row r="776" spans="1:12" ht="13.5" customHeight="1">
      <c r="A776" s="94"/>
      <c r="B776" s="94"/>
      <c r="C776" s="94"/>
      <c r="D776" s="94"/>
      <c r="E776" s="282"/>
      <c r="F776" s="282"/>
      <c r="G776" s="94"/>
      <c r="H776" s="94"/>
      <c r="I776" s="94"/>
      <c r="J776" s="94"/>
      <c r="K776" s="94"/>
      <c r="L776" s="94"/>
    </row>
    <row r="777" spans="1:12" ht="13.5" customHeight="1">
      <c r="A777" s="94"/>
      <c r="B777" s="94"/>
      <c r="C777" s="94"/>
      <c r="D777" s="94"/>
      <c r="E777" s="282"/>
      <c r="F777" s="282"/>
      <c r="G777" s="94"/>
      <c r="H777" s="94"/>
      <c r="I777" s="94"/>
      <c r="J777" s="94"/>
      <c r="K777" s="94"/>
      <c r="L777" s="94"/>
    </row>
    <row r="778" spans="1:12" ht="13.5" customHeight="1">
      <c r="A778" s="94"/>
      <c r="B778" s="94"/>
      <c r="C778" s="94"/>
      <c r="D778" s="94"/>
      <c r="E778" s="282"/>
      <c r="F778" s="282"/>
      <c r="G778" s="94"/>
      <c r="H778" s="94"/>
      <c r="I778" s="94"/>
      <c r="J778" s="94"/>
      <c r="K778" s="94"/>
      <c r="L778" s="94"/>
    </row>
    <row r="779" spans="1:12" ht="13.5" customHeight="1">
      <c r="A779" s="94"/>
      <c r="B779" s="94"/>
      <c r="C779" s="94"/>
      <c r="D779" s="94"/>
      <c r="E779" s="282"/>
      <c r="F779" s="282"/>
      <c r="G779" s="94"/>
      <c r="H779" s="94"/>
      <c r="I779" s="94"/>
      <c r="J779" s="94"/>
      <c r="K779" s="94"/>
      <c r="L779" s="94"/>
    </row>
    <row r="780" spans="1:12" ht="13.5" customHeight="1">
      <c r="A780" s="94"/>
      <c r="B780" s="94"/>
      <c r="C780" s="94"/>
      <c r="D780" s="94"/>
      <c r="E780" s="282"/>
      <c r="F780" s="282"/>
      <c r="G780" s="94"/>
      <c r="H780" s="94"/>
      <c r="I780" s="94"/>
      <c r="J780" s="94"/>
      <c r="K780" s="94"/>
      <c r="L780" s="94"/>
    </row>
    <row r="781" spans="1:12" ht="13.5" customHeight="1">
      <c r="A781" s="94"/>
      <c r="B781" s="94"/>
      <c r="C781" s="94"/>
      <c r="D781" s="94"/>
      <c r="E781" s="282"/>
      <c r="F781" s="282"/>
      <c r="G781" s="94"/>
      <c r="H781" s="94"/>
      <c r="I781" s="94"/>
      <c r="J781" s="94"/>
      <c r="K781" s="94"/>
      <c r="L781" s="94"/>
    </row>
    <row r="782" spans="1:12" ht="13.5" customHeight="1">
      <c r="A782" s="94"/>
      <c r="B782" s="94"/>
      <c r="C782" s="94"/>
      <c r="D782" s="94"/>
      <c r="E782" s="282"/>
      <c r="F782" s="282"/>
      <c r="G782" s="94"/>
      <c r="H782" s="94"/>
      <c r="I782" s="94"/>
      <c r="J782" s="94"/>
      <c r="K782" s="94"/>
      <c r="L782" s="94"/>
    </row>
    <row r="783" spans="1:12" ht="13.5" customHeight="1">
      <c r="A783" s="94"/>
      <c r="B783" s="94"/>
      <c r="C783" s="94"/>
      <c r="D783" s="94"/>
      <c r="E783" s="282"/>
      <c r="F783" s="282"/>
      <c r="G783" s="94"/>
      <c r="H783" s="94"/>
      <c r="I783" s="94"/>
      <c r="J783" s="94"/>
      <c r="K783" s="94"/>
      <c r="L783" s="94"/>
    </row>
    <row r="784" spans="1:12" ht="13.5" customHeight="1">
      <c r="A784" s="94"/>
      <c r="B784" s="94"/>
      <c r="C784" s="94"/>
      <c r="D784" s="94"/>
      <c r="E784" s="282"/>
      <c r="F784" s="282"/>
      <c r="G784" s="94"/>
      <c r="H784" s="94"/>
      <c r="I784" s="94"/>
      <c r="J784" s="94"/>
      <c r="K784" s="94"/>
      <c r="L784" s="94"/>
    </row>
    <row r="785" spans="1:12" ht="13.5" customHeight="1">
      <c r="A785" s="94"/>
      <c r="B785" s="94"/>
      <c r="C785" s="94"/>
      <c r="D785" s="94"/>
      <c r="E785" s="282"/>
      <c r="F785" s="282"/>
      <c r="G785" s="94"/>
      <c r="H785" s="94"/>
      <c r="I785" s="94"/>
      <c r="J785" s="94"/>
      <c r="K785" s="94"/>
      <c r="L785" s="94"/>
    </row>
    <row r="786" spans="1:12" ht="13.5" customHeight="1">
      <c r="A786" s="94"/>
      <c r="B786" s="94"/>
      <c r="C786" s="94"/>
      <c r="D786" s="94"/>
      <c r="E786" s="282"/>
      <c r="F786" s="282"/>
      <c r="G786" s="94"/>
      <c r="H786" s="94"/>
      <c r="I786" s="94"/>
      <c r="J786" s="94"/>
      <c r="K786" s="94"/>
      <c r="L786" s="94"/>
    </row>
    <row r="787" spans="1:12" ht="13.5" customHeight="1">
      <c r="A787" s="94"/>
      <c r="B787" s="94"/>
      <c r="C787" s="94"/>
      <c r="D787" s="94"/>
      <c r="E787" s="282"/>
      <c r="F787" s="282"/>
      <c r="G787" s="94"/>
      <c r="H787" s="94"/>
      <c r="I787" s="94"/>
      <c r="J787" s="94"/>
      <c r="K787" s="94"/>
      <c r="L787" s="94"/>
    </row>
    <row r="788" spans="1:12" ht="13.5" customHeight="1">
      <c r="A788" s="94"/>
      <c r="B788" s="94"/>
      <c r="C788" s="94"/>
      <c r="D788" s="94"/>
      <c r="E788" s="282"/>
      <c r="F788" s="282"/>
      <c r="G788" s="94"/>
      <c r="H788" s="94"/>
      <c r="I788" s="94"/>
      <c r="J788" s="94"/>
      <c r="K788" s="94"/>
      <c r="L788" s="94"/>
    </row>
    <row r="789" spans="1:12" ht="13.5" customHeight="1">
      <c r="A789" s="94"/>
      <c r="B789" s="94"/>
      <c r="C789" s="94"/>
      <c r="D789" s="94"/>
      <c r="E789" s="282"/>
      <c r="F789" s="282"/>
      <c r="G789" s="94"/>
      <c r="H789" s="94"/>
      <c r="I789" s="94"/>
      <c r="J789" s="94"/>
      <c r="K789" s="94"/>
      <c r="L789" s="94"/>
    </row>
    <row r="790" spans="1:12" ht="13.5" customHeight="1">
      <c r="A790" s="94"/>
      <c r="B790" s="94"/>
      <c r="C790" s="94"/>
      <c r="D790" s="94"/>
      <c r="E790" s="282"/>
      <c r="F790" s="282"/>
      <c r="G790" s="94"/>
      <c r="H790" s="94"/>
      <c r="I790" s="94"/>
      <c r="J790" s="94"/>
      <c r="K790" s="94"/>
      <c r="L790" s="94"/>
    </row>
    <row r="791" spans="1:12" ht="13.5" customHeight="1">
      <c r="A791" s="94"/>
      <c r="B791" s="94"/>
      <c r="C791" s="94"/>
      <c r="D791" s="94"/>
      <c r="E791" s="282"/>
      <c r="F791" s="282"/>
      <c r="G791" s="94"/>
      <c r="H791" s="94"/>
      <c r="I791" s="94"/>
      <c r="J791" s="94"/>
      <c r="K791" s="94"/>
      <c r="L791" s="94"/>
    </row>
    <row r="792" spans="1:12" ht="13.5" customHeight="1">
      <c r="A792" s="94"/>
      <c r="B792" s="94"/>
      <c r="C792" s="94"/>
      <c r="D792" s="94"/>
      <c r="E792" s="282"/>
      <c r="F792" s="282"/>
      <c r="G792" s="94"/>
      <c r="H792" s="94"/>
      <c r="I792" s="94"/>
      <c r="J792" s="94"/>
      <c r="K792" s="94"/>
      <c r="L792" s="94"/>
    </row>
    <row r="793" spans="1:12" ht="13.5" customHeight="1">
      <c r="A793" s="94"/>
      <c r="B793" s="94"/>
      <c r="C793" s="94"/>
      <c r="D793" s="94"/>
      <c r="E793" s="282"/>
      <c r="F793" s="282"/>
      <c r="G793" s="94"/>
      <c r="H793" s="94"/>
      <c r="I793" s="94"/>
      <c r="J793" s="94"/>
      <c r="K793" s="94"/>
      <c r="L793" s="94"/>
    </row>
    <row r="794" spans="1:12" ht="13.5" customHeight="1">
      <c r="A794" s="94"/>
      <c r="B794" s="94"/>
      <c r="C794" s="94"/>
      <c r="D794" s="94"/>
      <c r="E794" s="282"/>
      <c r="F794" s="282"/>
      <c r="G794" s="94"/>
      <c r="H794" s="94"/>
      <c r="I794" s="94"/>
      <c r="J794" s="94"/>
      <c r="K794" s="94"/>
      <c r="L794" s="94"/>
    </row>
    <row r="795" spans="1:12" ht="13.5" customHeight="1">
      <c r="A795" s="94"/>
      <c r="B795" s="94"/>
      <c r="C795" s="94"/>
      <c r="D795" s="94"/>
      <c r="E795" s="282"/>
      <c r="F795" s="282"/>
      <c r="G795" s="94"/>
      <c r="H795" s="94"/>
      <c r="I795" s="94"/>
      <c r="J795" s="94"/>
      <c r="K795" s="94"/>
      <c r="L795" s="94"/>
    </row>
    <row r="796" spans="1:12" ht="13.5" customHeight="1">
      <c r="A796" s="94"/>
      <c r="B796" s="94"/>
      <c r="C796" s="94"/>
      <c r="D796" s="94"/>
      <c r="E796" s="282"/>
      <c r="F796" s="282"/>
      <c r="G796" s="94"/>
      <c r="H796" s="94"/>
      <c r="I796" s="94"/>
      <c r="J796" s="94"/>
      <c r="K796" s="94"/>
      <c r="L796" s="94"/>
    </row>
    <row r="797" spans="1:12" ht="13.5" customHeight="1">
      <c r="A797" s="94"/>
      <c r="B797" s="94"/>
      <c r="C797" s="94"/>
      <c r="D797" s="94"/>
      <c r="E797" s="282"/>
      <c r="F797" s="282"/>
      <c r="G797" s="94"/>
      <c r="H797" s="94"/>
      <c r="I797" s="94"/>
      <c r="J797" s="94"/>
      <c r="K797" s="94"/>
      <c r="L797" s="94"/>
    </row>
    <row r="798" spans="1:12" ht="13.5" customHeight="1">
      <c r="A798" s="94"/>
      <c r="B798" s="94"/>
      <c r="C798" s="94"/>
      <c r="D798" s="94"/>
      <c r="E798" s="282"/>
      <c r="F798" s="282"/>
      <c r="G798" s="94"/>
      <c r="H798" s="94"/>
      <c r="I798" s="94"/>
      <c r="J798" s="94"/>
      <c r="K798" s="94"/>
      <c r="L798" s="94"/>
    </row>
    <row r="799" spans="1:12" ht="13.5" customHeight="1">
      <c r="A799" s="94"/>
      <c r="B799" s="94"/>
      <c r="C799" s="94"/>
      <c r="D799" s="94"/>
      <c r="E799" s="282"/>
      <c r="F799" s="282"/>
      <c r="G799" s="94"/>
      <c r="H799" s="94"/>
      <c r="I799" s="94"/>
      <c r="J799" s="94"/>
      <c r="K799" s="94"/>
      <c r="L799" s="94"/>
    </row>
    <row r="800" spans="1:12" ht="13.5" customHeight="1">
      <c r="A800" s="94"/>
      <c r="B800" s="94"/>
      <c r="C800" s="94"/>
      <c r="D800" s="94"/>
      <c r="E800" s="282"/>
      <c r="F800" s="282"/>
      <c r="G800" s="94"/>
      <c r="H800" s="94"/>
      <c r="I800" s="94"/>
      <c r="J800" s="94"/>
      <c r="K800" s="94"/>
      <c r="L800" s="94"/>
    </row>
    <row r="801" spans="1:12" ht="13.5" customHeight="1">
      <c r="A801" s="94"/>
      <c r="B801" s="94"/>
      <c r="C801" s="94"/>
      <c r="D801" s="94"/>
      <c r="E801" s="282"/>
      <c r="F801" s="282"/>
      <c r="G801" s="94"/>
      <c r="H801" s="94"/>
      <c r="I801" s="94"/>
      <c r="J801" s="94"/>
      <c r="K801" s="94"/>
      <c r="L801" s="94"/>
    </row>
    <row r="802" spans="1:12" ht="13.5" customHeight="1">
      <c r="A802" s="94"/>
      <c r="B802" s="94"/>
      <c r="C802" s="94"/>
      <c r="D802" s="94"/>
      <c r="E802" s="282"/>
      <c r="F802" s="282"/>
      <c r="G802" s="94"/>
      <c r="H802" s="94"/>
      <c r="I802" s="94"/>
      <c r="J802" s="94"/>
      <c r="K802" s="94"/>
      <c r="L802" s="94"/>
    </row>
    <row r="803" spans="1:12" ht="13.5" customHeight="1">
      <c r="A803" s="94"/>
      <c r="B803" s="94"/>
      <c r="C803" s="94"/>
      <c r="D803" s="94"/>
      <c r="E803" s="282"/>
      <c r="F803" s="282"/>
      <c r="G803" s="94"/>
      <c r="H803" s="94"/>
      <c r="I803" s="94"/>
      <c r="J803" s="94"/>
      <c r="K803" s="94"/>
      <c r="L803" s="94"/>
    </row>
    <row r="804" spans="1:12" ht="13.5" customHeight="1">
      <c r="A804" s="94"/>
      <c r="B804" s="94"/>
      <c r="C804" s="94"/>
      <c r="D804" s="94"/>
      <c r="E804" s="282"/>
      <c r="F804" s="282"/>
      <c r="G804" s="94"/>
      <c r="H804" s="94"/>
      <c r="I804" s="94"/>
      <c r="J804" s="94"/>
      <c r="K804" s="94"/>
      <c r="L804" s="94"/>
    </row>
    <row r="805" spans="1:12" ht="13.5" customHeight="1">
      <c r="A805" s="94"/>
      <c r="B805" s="94"/>
      <c r="C805" s="94"/>
      <c r="D805" s="94"/>
      <c r="E805" s="282"/>
      <c r="F805" s="282"/>
      <c r="G805" s="94"/>
      <c r="H805" s="94"/>
      <c r="I805" s="94"/>
      <c r="J805" s="94"/>
      <c r="K805" s="94"/>
      <c r="L805" s="94"/>
    </row>
    <row r="806" spans="1:12" ht="13.5" customHeight="1">
      <c r="A806" s="94"/>
      <c r="B806" s="94"/>
      <c r="C806" s="94"/>
      <c r="D806" s="94"/>
      <c r="E806" s="282"/>
      <c r="F806" s="282"/>
      <c r="G806" s="94"/>
      <c r="H806" s="94"/>
      <c r="I806" s="94"/>
      <c r="J806" s="94"/>
      <c r="K806" s="94"/>
      <c r="L806" s="94"/>
    </row>
    <row r="807" spans="1:12" ht="13.5" customHeight="1">
      <c r="A807" s="94"/>
      <c r="B807" s="94"/>
      <c r="C807" s="94"/>
      <c r="D807" s="94"/>
      <c r="E807" s="282"/>
      <c r="F807" s="282"/>
      <c r="G807" s="94"/>
      <c r="H807" s="94"/>
      <c r="I807" s="94"/>
      <c r="J807" s="94"/>
      <c r="K807" s="94"/>
      <c r="L807" s="94"/>
    </row>
    <row r="808" spans="1:12" ht="13.5" customHeight="1">
      <c r="A808" s="94"/>
      <c r="B808" s="94"/>
      <c r="C808" s="94"/>
      <c r="D808" s="94"/>
      <c r="E808" s="282"/>
      <c r="F808" s="282"/>
      <c r="G808" s="94"/>
      <c r="H808" s="94"/>
      <c r="I808" s="94"/>
      <c r="J808" s="94"/>
      <c r="K808" s="94"/>
      <c r="L808" s="94"/>
    </row>
    <row r="809" spans="1:12" ht="13.5" customHeight="1">
      <c r="A809" s="94"/>
      <c r="B809" s="94"/>
      <c r="C809" s="94"/>
      <c r="D809" s="94"/>
      <c r="E809" s="282"/>
      <c r="F809" s="282"/>
      <c r="G809" s="94"/>
      <c r="H809" s="94"/>
      <c r="I809" s="94"/>
      <c r="J809" s="94"/>
      <c r="K809" s="94"/>
      <c r="L809" s="94"/>
    </row>
    <row r="810" spans="1:12" ht="13.5" customHeight="1">
      <c r="A810" s="94"/>
      <c r="B810" s="94"/>
      <c r="C810" s="94"/>
      <c r="D810" s="94"/>
      <c r="E810" s="282"/>
      <c r="F810" s="282"/>
      <c r="G810" s="94"/>
      <c r="H810" s="94"/>
      <c r="I810" s="94"/>
      <c r="J810" s="94"/>
      <c r="K810" s="94"/>
      <c r="L810" s="94"/>
    </row>
    <row r="811" spans="1:12" ht="13.5" customHeight="1">
      <c r="A811" s="94"/>
      <c r="B811" s="94"/>
      <c r="C811" s="94"/>
      <c r="D811" s="94"/>
      <c r="E811" s="282"/>
      <c r="F811" s="282"/>
      <c r="G811" s="94"/>
      <c r="H811" s="94"/>
      <c r="I811" s="94"/>
      <c r="J811" s="94"/>
      <c r="K811" s="94"/>
      <c r="L811" s="94"/>
    </row>
    <row r="812" spans="1:12" ht="13.5" customHeight="1">
      <c r="A812" s="94"/>
      <c r="B812" s="94"/>
      <c r="C812" s="94"/>
      <c r="D812" s="94"/>
      <c r="E812" s="282"/>
      <c r="F812" s="282"/>
      <c r="G812" s="94"/>
      <c r="H812" s="94"/>
      <c r="I812" s="94"/>
      <c r="J812" s="94"/>
      <c r="K812" s="94"/>
      <c r="L812" s="94"/>
    </row>
    <row r="813" spans="1:12" ht="13.5" customHeight="1">
      <c r="A813" s="94"/>
      <c r="B813" s="94"/>
      <c r="C813" s="94"/>
      <c r="D813" s="94"/>
      <c r="E813" s="282"/>
      <c r="F813" s="282"/>
      <c r="G813" s="94"/>
      <c r="H813" s="94"/>
      <c r="I813" s="94"/>
      <c r="J813" s="94"/>
      <c r="K813" s="94"/>
      <c r="L813" s="94"/>
    </row>
    <row r="814" spans="1:12" ht="13.5" customHeight="1">
      <c r="A814" s="94"/>
      <c r="B814" s="94"/>
      <c r="C814" s="94"/>
      <c r="D814" s="94"/>
      <c r="E814" s="282"/>
      <c r="F814" s="282"/>
      <c r="G814" s="94"/>
      <c r="H814" s="94"/>
      <c r="I814" s="94"/>
      <c r="J814" s="94"/>
      <c r="K814" s="94"/>
      <c r="L814" s="94"/>
    </row>
    <row r="815" spans="1:12" ht="13.5" customHeight="1">
      <c r="A815" s="94"/>
      <c r="B815" s="94"/>
      <c r="C815" s="94"/>
      <c r="D815" s="94"/>
      <c r="E815" s="282"/>
      <c r="F815" s="282"/>
      <c r="G815" s="94"/>
      <c r="H815" s="94"/>
      <c r="I815" s="94"/>
      <c r="J815" s="94"/>
      <c r="K815" s="94"/>
      <c r="L815" s="94"/>
    </row>
    <row r="816" spans="1:12" ht="13.5" customHeight="1">
      <c r="A816" s="94"/>
      <c r="B816" s="94"/>
      <c r="C816" s="94"/>
      <c r="D816" s="94"/>
      <c r="E816" s="282"/>
      <c r="F816" s="282"/>
      <c r="G816" s="94"/>
      <c r="H816" s="94"/>
      <c r="I816" s="94"/>
      <c r="J816" s="94"/>
      <c r="K816" s="94"/>
      <c r="L816" s="94"/>
    </row>
    <row r="817" spans="1:12" ht="13.5" customHeight="1">
      <c r="A817" s="94"/>
      <c r="B817" s="94"/>
      <c r="C817" s="94"/>
      <c r="D817" s="94"/>
      <c r="E817" s="282"/>
      <c r="F817" s="282"/>
      <c r="G817" s="94"/>
      <c r="H817" s="94"/>
      <c r="I817" s="94"/>
      <c r="J817" s="94"/>
      <c r="K817" s="94"/>
      <c r="L817" s="94"/>
    </row>
    <row r="818" spans="1:12" ht="13.5" customHeight="1">
      <c r="A818" s="94"/>
      <c r="B818" s="94"/>
      <c r="C818" s="94"/>
      <c r="D818" s="94"/>
      <c r="E818" s="282"/>
      <c r="F818" s="282"/>
      <c r="G818" s="94"/>
      <c r="H818" s="94"/>
      <c r="I818" s="94"/>
      <c r="J818" s="94"/>
      <c r="K818" s="94"/>
      <c r="L818" s="94"/>
    </row>
    <row r="819" spans="1:12" ht="13.5" customHeight="1">
      <c r="A819" s="94"/>
      <c r="B819" s="94"/>
      <c r="C819" s="94"/>
      <c r="D819" s="94"/>
      <c r="E819" s="282"/>
      <c r="F819" s="282"/>
      <c r="G819" s="94"/>
      <c r="H819" s="94"/>
      <c r="I819" s="94"/>
      <c r="J819" s="94"/>
      <c r="K819" s="94"/>
      <c r="L819" s="94"/>
    </row>
    <row r="820" spans="1:12" ht="13.5" customHeight="1">
      <c r="A820" s="94"/>
      <c r="B820" s="94"/>
      <c r="C820" s="94"/>
      <c r="D820" s="94"/>
      <c r="E820" s="282"/>
      <c r="F820" s="282"/>
      <c r="G820" s="94"/>
      <c r="H820" s="94"/>
      <c r="I820" s="94"/>
      <c r="J820" s="94"/>
      <c r="K820" s="94"/>
      <c r="L820" s="94"/>
    </row>
    <row r="821" spans="1:12" ht="13.5" customHeight="1">
      <c r="A821" s="94"/>
      <c r="B821" s="94"/>
      <c r="C821" s="94"/>
      <c r="D821" s="94"/>
      <c r="E821" s="282"/>
      <c r="F821" s="282"/>
      <c r="G821" s="94"/>
      <c r="H821" s="94"/>
      <c r="I821" s="94"/>
      <c r="J821" s="94"/>
      <c r="K821" s="94"/>
      <c r="L821" s="94"/>
    </row>
    <row r="822" spans="1:12" ht="13.5" customHeight="1">
      <c r="A822" s="94"/>
      <c r="B822" s="94"/>
      <c r="C822" s="94"/>
      <c r="D822" s="94"/>
      <c r="E822" s="282"/>
      <c r="F822" s="282"/>
      <c r="G822" s="94"/>
      <c r="H822" s="94"/>
      <c r="I822" s="94"/>
      <c r="J822" s="94"/>
      <c r="K822" s="94"/>
      <c r="L822" s="94"/>
    </row>
    <row r="823" spans="1:12" ht="13.5" customHeight="1">
      <c r="A823" s="94"/>
      <c r="B823" s="94"/>
      <c r="C823" s="94"/>
      <c r="D823" s="94"/>
      <c r="E823" s="282"/>
      <c r="F823" s="282"/>
      <c r="G823" s="94"/>
      <c r="H823" s="94"/>
      <c r="I823" s="94"/>
      <c r="J823" s="94"/>
      <c r="K823" s="94"/>
      <c r="L823" s="94"/>
    </row>
    <row r="824" spans="1:12" ht="13.5" customHeight="1">
      <c r="A824" s="94"/>
      <c r="B824" s="94"/>
      <c r="C824" s="94"/>
      <c r="D824" s="94"/>
      <c r="E824" s="282"/>
      <c r="F824" s="282"/>
      <c r="G824" s="94"/>
      <c r="H824" s="94"/>
      <c r="I824" s="94"/>
      <c r="J824" s="94"/>
      <c r="K824" s="94"/>
      <c r="L824" s="94"/>
    </row>
    <row r="825" spans="1:12" ht="13.5" customHeight="1">
      <c r="A825" s="94"/>
      <c r="B825" s="94"/>
      <c r="C825" s="94"/>
      <c r="D825" s="94"/>
      <c r="E825" s="282"/>
      <c r="F825" s="282"/>
      <c r="G825" s="94"/>
      <c r="H825" s="94"/>
      <c r="I825" s="94"/>
      <c r="J825" s="94"/>
      <c r="K825" s="94"/>
      <c r="L825" s="94"/>
    </row>
    <row r="826" spans="1:12" ht="13.5" customHeight="1">
      <c r="A826" s="94"/>
      <c r="B826" s="94"/>
      <c r="C826" s="94"/>
      <c r="D826" s="94"/>
      <c r="E826" s="282"/>
      <c r="F826" s="282"/>
      <c r="G826" s="94"/>
      <c r="H826" s="94"/>
      <c r="I826" s="94"/>
      <c r="J826" s="94"/>
      <c r="K826" s="94"/>
      <c r="L826" s="94"/>
    </row>
    <row r="827" spans="1:12" ht="13.5" customHeight="1">
      <c r="A827" s="94"/>
      <c r="B827" s="94"/>
      <c r="C827" s="94"/>
      <c r="D827" s="94"/>
      <c r="E827" s="282"/>
      <c r="F827" s="282"/>
      <c r="G827" s="94"/>
      <c r="H827" s="94"/>
      <c r="I827" s="94"/>
      <c r="J827" s="94"/>
      <c r="K827" s="94"/>
      <c r="L827" s="94"/>
    </row>
    <row r="828" spans="1:12" ht="13.5" customHeight="1">
      <c r="A828" s="94"/>
      <c r="B828" s="94"/>
      <c r="C828" s="94"/>
      <c r="D828" s="94"/>
      <c r="E828" s="282"/>
      <c r="F828" s="282"/>
      <c r="G828" s="94"/>
      <c r="H828" s="94"/>
      <c r="I828" s="94"/>
      <c r="J828" s="94"/>
      <c r="K828" s="94"/>
      <c r="L828" s="94"/>
    </row>
    <row r="829" spans="1:12" ht="13.5" customHeight="1">
      <c r="A829" s="94"/>
      <c r="B829" s="94"/>
      <c r="C829" s="94"/>
      <c r="D829" s="94"/>
      <c r="E829" s="282"/>
      <c r="F829" s="282"/>
      <c r="G829" s="94"/>
      <c r="H829" s="94"/>
      <c r="I829" s="94"/>
      <c r="J829" s="94"/>
      <c r="K829" s="94"/>
      <c r="L829" s="94"/>
    </row>
    <row r="830" spans="1:12" ht="13.5" customHeight="1">
      <c r="A830" s="94"/>
      <c r="B830" s="94"/>
      <c r="C830" s="94"/>
      <c r="D830" s="94"/>
      <c r="E830" s="282"/>
      <c r="F830" s="282"/>
      <c r="G830" s="94"/>
      <c r="H830" s="94"/>
      <c r="I830" s="94"/>
      <c r="J830" s="94"/>
      <c r="K830" s="94"/>
      <c r="L830" s="94"/>
    </row>
    <row r="831" spans="1:12" ht="13.5" customHeight="1">
      <c r="A831" s="94"/>
      <c r="B831" s="94"/>
      <c r="C831" s="94"/>
      <c r="D831" s="94"/>
      <c r="E831" s="282"/>
      <c r="F831" s="282"/>
      <c r="G831" s="94"/>
      <c r="H831" s="94"/>
      <c r="I831" s="94"/>
      <c r="J831" s="94"/>
      <c r="K831" s="94"/>
      <c r="L831" s="94"/>
    </row>
    <row r="832" spans="1:12" ht="13.5" customHeight="1">
      <c r="A832" s="94"/>
      <c r="B832" s="94"/>
      <c r="C832" s="94"/>
      <c r="D832" s="94"/>
      <c r="E832" s="282"/>
      <c r="F832" s="282"/>
      <c r="G832" s="94"/>
      <c r="H832" s="94"/>
      <c r="I832" s="94"/>
      <c r="J832" s="94"/>
      <c r="K832" s="94"/>
      <c r="L832" s="94"/>
    </row>
    <row r="833" spans="1:12" ht="13.5" customHeight="1">
      <c r="A833" s="94"/>
      <c r="B833" s="94"/>
      <c r="C833" s="94"/>
      <c r="D833" s="94"/>
      <c r="E833" s="282"/>
      <c r="F833" s="282"/>
      <c r="G833" s="94"/>
      <c r="H833" s="94"/>
      <c r="I833" s="94"/>
      <c r="J833" s="94"/>
      <c r="K833" s="94"/>
      <c r="L833" s="94"/>
    </row>
    <row r="834" spans="1:12" ht="13.5" customHeight="1">
      <c r="A834" s="94"/>
      <c r="B834" s="94"/>
      <c r="C834" s="94"/>
      <c r="D834" s="94"/>
      <c r="E834" s="282"/>
      <c r="F834" s="282"/>
      <c r="G834" s="94"/>
      <c r="H834" s="94"/>
      <c r="I834" s="94"/>
      <c r="J834" s="94"/>
      <c r="K834" s="94"/>
      <c r="L834" s="94"/>
    </row>
    <row r="835" spans="1:12" ht="13.5" customHeight="1">
      <c r="A835" s="94"/>
      <c r="B835" s="94"/>
      <c r="C835" s="94"/>
      <c r="D835" s="94"/>
      <c r="E835" s="282"/>
      <c r="F835" s="282"/>
      <c r="G835" s="94"/>
      <c r="H835" s="94"/>
      <c r="I835" s="94"/>
      <c r="J835" s="94"/>
      <c r="K835" s="94"/>
      <c r="L835" s="94"/>
    </row>
    <row r="836" spans="1:12" ht="13.5" customHeight="1">
      <c r="A836" s="94"/>
      <c r="B836" s="94"/>
      <c r="C836" s="94"/>
      <c r="D836" s="94"/>
      <c r="E836" s="282"/>
      <c r="F836" s="282"/>
      <c r="G836" s="94"/>
      <c r="H836" s="94"/>
      <c r="I836" s="94"/>
      <c r="J836" s="94"/>
      <c r="K836" s="94"/>
      <c r="L836" s="94"/>
    </row>
    <row r="837" spans="1:12" ht="13.5" customHeight="1">
      <c r="A837" s="94"/>
      <c r="B837" s="94"/>
      <c r="C837" s="94"/>
      <c r="D837" s="94"/>
      <c r="E837" s="282"/>
      <c r="F837" s="282"/>
      <c r="G837" s="94"/>
      <c r="H837" s="94"/>
      <c r="I837" s="94"/>
      <c r="J837" s="94"/>
      <c r="K837" s="94"/>
      <c r="L837" s="94"/>
    </row>
    <row r="838" spans="1:12" ht="13.5" customHeight="1">
      <c r="A838" s="94"/>
      <c r="B838" s="94"/>
      <c r="C838" s="94"/>
      <c r="D838" s="94"/>
      <c r="E838" s="282"/>
      <c r="F838" s="282"/>
      <c r="G838" s="94"/>
      <c r="H838" s="94"/>
      <c r="I838" s="94"/>
      <c r="J838" s="94"/>
      <c r="K838" s="94"/>
      <c r="L838" s="94"/>
    </row>
    <row r="839" spans="1:12" ht="13.5" customHeight="1">
      <c r="A839" s="94"/>
      <c r="B839" s="94"/>
      <c r="C839" s="94"/>
      <c r="D839" s="94"/>
      <c r="E839" s="282"/>
      <c r="F839" s="282"/>
      <c r="G839" s="94"/>
      <c r="H839" s="94"/>
      <c r="I839" s="94"/>
      <c r="J839" s="94"/>
      <c r="K839" s="94"/>
      <c r="L839" s="94"/>
    </row>
    <row r="840" spans="1:12" ht="13.5" customHeight="1">
      <c r="A840" s="94"/>
      <c r="B840" s="94"/>
      <c r="C840" s="94"/>
      <c r="D840" s="94"/>
      <c r="E840" s="282"/>
      <c r="F840" s="282"/>
      <c r="G840" s="94"/>
      <c r="H840" s="94"/>
      <c r="I840" s="94"/>
      <c r="J840" s="94"/>
      <c r="K840" s="94"/>
      <c r="L840" s="94"/>
    </row>
    <row r="841" spans="1:12" ht="13.5" customHeight="1">
      <c r="A841" s="94"/>
      <c r="B841" s="94"/>
      <c r="C841" s="94"/>
      <c r="D841" s="94"/>
      <c r="E841" s="282"/>
      <c r="F841" s="282"/>
      <c r="G841" s="94"/>
      <c r="H841" s="94"/>
      <c r="I841" s="94"/>
      <c r="J841" s="94"/>
      <c r="K841" s="94"/>
      <c r="L841" s="94"/>
    </row>
    <row r="842" spans="1:12" ht="13.5" customHeight="1">
      <c r="A842" s="94"/>
      <c r="B842" s="94"/>
      <c r="C842" s="94"/>
      <c r="D842" s="94"/>
      <c r="E842" s="282"/>
      <c r="F842" s="282"/>
      <c r="G842" s="94"/>
      <c r="H842" s="94"/>
      <c r="I842" s="94"/>
      <c r="J842" s="94"/>
      <c r="K842" s="94"/>
      <c r="L842" s="94"/>
    </row>
    <row r="843" spans="1:12" ht="13.5" customHeight="1">
      <c r="A843" s="94"/>
      <c r="B843" s="94"/>
      <c r="C843" s="94"/>
      <c r="D843" s="94"/>
      <c r="E843" s="282"/>
      <c r="F843" s="282"/>
      <c r="G843" s="94"/>
      <c r="H843" s="94"/>
      <c r="I843" s="94"/>
      <c r="J843" s="94"/>
      <c r="K843" s="94"/>
      <c r="L843" s="94"/>
    </row>
    <row r="844" spans="1:12" ht="13.5" customHeight="1">
      <c r="A844" s="94"/>
      <c r="B844" s="94"/>
      <c r="C844" s="94"/>
      <c r="D844" s="94"/>
      <c r="E844" s="282"/>
      <c r="F844" s="282"/>
      <c r="G844" s="94"/>
      <c r="H844" s="94"/>
      <c r="I844" s="94"/>
      <c r="J844" s="94"/>
      <c r="K844" s="94"/>
      <c r="L844" s="94"/>
    </row>
    <row r="845" spans="1:12" ht="13.5" customHeight="1">
      <c r="A845" s="94"/>
      <c r="B845" s="94"/>
      <c r="C845" s="94"/>
      <c r="D845" s="94"/>
      <c r="E845" s="282"/>
      <c r="F845" s="282"/>
      <c r="G845" s="94"/>
      <c r="H845" s="94"/>
      <c r="I845" s="94"/>
      <c r="J845" s="94"/>
      <c r="K845" s="94"/>
      <c r="L845" s="94"/>
    </row>
    <row r="846" spans="1:12" ht="13.5" customHeight="1">
      <c r="A846" s="94"/>
      <c r="B846" s="94"/>
      <c r="C846" s="94"/>
      <c r="D846" s="94"/>
      <c r="E846" s="282"/>
      <c r="F846" s="282"/>
      <c r="G846" s="94"/>
      <c r="H846" s="94"/>
      <c r="I846" s="94"/>
      <c r="J846" s="94"/>
      <c r="K846" s="94"/>
      <c r="L846" s="94"/>
    </row>
    <row r="847" spans="1:12" ht="13.5" customHeight="1">
      <c r="A847" s="94"/>
      <c r="B847" s="94"/>
      <c r="C847" s="94"/>
      <c r="D847" s="94"/>
      <c r="E847" s="282"/>
      <c r="F847" s="282"/>
      <c r="G847" s="94"/>
      <c r="H847" s="94"/>
      <c r="I847" s="94"/>
      <c r="J847" s="94"/>
      <c r="K847" s="94"/>
      <c r="L847" s="94"/>
    </row>
    <row r="848" spans="1:12" ht="13.5" customHeight="1">
      <c r="A848" s="94"/>
      <c r="B848" s="94"/>
      <c r="C848" s="94"/>
      <c r="D848" s="94"/>
      <c r="E848" s="282"/>
      <c r="F848" s="282"/>
      <c r="G848" s="94"/>
      <c r="H848" s="94"/>
      <c r="I848" s="94"/>
      <c r="J848" s="94"/>
      <c r="K848" s="94"/>
      <c r="L848" s="94"/>
    </row>
    <row r="849" spans="1:12" ht="13.5" customHeight="1">
      <c r="A849" s="94"/>
      <c r="B849" s="94"/>
      <c r="C849" s="94"/>
      <c r="D849" s="94"/>
      <c r="E849" s="282"/>
      <c r="F849" s="282"/>
      <c r="G849" s="94"/>
      <c r="H849" s="94"/>
      <c r="I849" s="94"/>
      <c r="J849" s="94"/>
      <c r="K849" s="94"/>
      <c r="L849" s="94"/>
    </row>
    <row r="850" spans="1:12" ht="13.5" customHeight="1">
      <c r="A850" s="94"/>
      <c r="B850" s="94"/>
      <c r="C850" s="94"/>
      <c r="D850" s="94"/>
      <c r="E850" s="282"/>
      <c r="F850" s="282"/>
      <c r="G850" s="94"/>
      <c r="H850" s="94"/>
      <c r="I850" s="94"/>
      <c r="J850" s="94"/>
      <c r="K850" s="94"/>
      <c r="L850" s="94"/>
    </row>
    <row r="851" spans="1:12" ht="13.5" customHeight="1">
      <c r="A851" s="94"/>
      <c r="B851" s="94"/>
      <c r="C851" s="94"/>
      <c r="D851" s="94"/>
      <c r="E851" s="282"/>
      <c r="F851" s="282"/>
      <c r="G851" s="94"/>
      <c r="H851" s="94"/>
      <c r="I851" s="94"/>
      <c r="J851" s="94"/>
      <c r="K851" s="94"/>
      <c r="L851" s="94"/>
    </row>
    <row r="852" spans="1:12" ht="13.5" customHeight="1">
      <c r="A852" s="94"/>
      <c r="B852" s="94"/>
      <c r="C852" s="94"/>
      <c r="D852" s="94"/>
      <c r="E852" s="282"/>
      <c r="F852" s="282"/>
      <c r="G852" s="94"/>
      <c r="H852" s="94"/>
      <c r="I852" s="94"/>
      <c r="J852" s="94"/>
      <c r="K852" s="94"/>
      <c r="L852" s="94"/>
    </row>
    <row r="853" spans="1:12" ht="13.5" customHeight="1">
      <c r="A853" s="94"/>
      <c r="B853" s="94"/>
      <c r="C853" s="94"/>
      <c r="D853" s="94"/>
      <c r="E853" s="282"/>
      <c r="F853" s="282"/>
      <c r="G853" s="94"/>
      <c r="H853" s="94"/>
      <c r="I853" s="94"/>
      <c r="J853" s="94"/>
      <c r="K853" s="94"/>
      <c r="L853" s="94"/>
    </row>
    <row r="854" spans="1:12" ht="13.5" customHeight="1">
      <c r="A854" s="94"/>
      <c r="B854" s="94"/>
      <c r="C854" s="94"/>
      <c r="D854" s="94"/>
      <c r="E854" s="282"/>
      <c r="F854" s="282"/>
      <c r="G854" s="94"/>
      <c r="H854" s="94"/>
      <c r="I854" s="94"/>
      <c r="J854" s="94"/>
      <c r="K854" s="94"/>
      <c r="L854" s="94"/>
    </row>
    <row r="855" spans="1:12" ht="13.5" customHeight="1">
      <c r="A855" s="94"/>
      <c r="B855" s="94"/>
      <c r="C855" s="94"/>
      <c r="D855" s="94"/>
      <c r="E855" s="282"/>
      <c r="F855" s="282"/>
      <c r="G855" s="94"/>
      <c r="H855" s="94"/>
      <c r="I855" s="94"/>
      <c r="J855" s="94"/>
      <c r="K855" s="94"/>
      <c r="L855" s="94"/>
    </row>
    <row r="856" spans="1:12" ht="13.5" customHeight="1">
      <c r="A856" s="94"/>
      <c r="B856" s="94"/>
      <c r="C856" s="94"/>
      <c r="D856" s="94"/>
      <c r="E856" s="282"/>
      <c r="F856" s="282"/>
      <c r="G856" s="94"/>
      <c r="H856" s="94"/>
      <c r="I856" s="94"/>
      <c r="J856" s="94"/>
      <c r="K856" s="94"/>
      <c r="L856" s="94"/>
    </row>
    <row r="857" spans="1:12" ht="13.5" customHeight="1">
      <c r="A857" s="94"/>
      <c r="B857" s="94"/>
      <c r="C857" s="94"/>
      <c r="D857" s="94"/>
      <c r="E857" s="282"/>
      <c r="F857" s="282"/>
      <c r="G857" s="94"/>
      <c r="H857" s="94"/>
      <c r="I857" s="94"/>
      <c r="J857" s="94"/>
      <c r="K857" s="94"/>
      <c r="L857" s="94"/>
    </row>
    <row r="858" spans="1:12" ht="13.5" customHeight="1">
      <c r="A858" s="94"/>
      <c r="B858" s="94"/>
      <c r="C858" s="94"/>
      <c r="D858" s="94"/>
      <c r="E858" s="282"/>
      <c r="F858" s="282"/>
      <c r="G858" s="94"/>
      <c r="H858" s="94"/>
      <c r="I858" s="94"/>
      <c r="J858" s="94"/>
      <c r="K858" s="94"/>
      <c r="L858" s="94"/>
    </row>
    <row r="859" spans="1:12" ht="13.5" customHeight="1">
      <c r="A859" s="94"/>
      <c r="B859" s="94"/>
      <c r="C859" s="94"/>
      <c r="D859" s="94"/>
      <c r="E859" s="282"/>
      <c r="F859" s="282"/>
      <c r="G859" s="94"/>
      <c r="H859" s="94"/>
      <c r="I859" s="94"/>
      <c r="J859" s="94"/>
      <c r="K859" s="94"/>
      <c r="L859" s="94"/>
    </row>
    <row r="860" spans="1:12" ht="13.5" customHeight="1">
      <c r="A860" s="94"/>
      <c r="B860" s="94"/>
      <c r="C860" s="94"/>
      <c r="D860" s="94"/>
      <c r="E860" s="282"/>
      <c r="F860" s="282"/>
      <c r="G860" s="94"/>
      <c r="H860" s="94"/>
      <c r="I860" s="94"/>
      <c r="J860" s="94"/>
      <c r="K860" s="94"/>
      <c r="L860" s="94"/>
    </row>
    <row r="861" spans="1:12" ht="13.5" customHeight="1">
      <c r="A861" s="94"/>
      <c r="B861" s="94"/>
      <c r="C861" s="94"/>
      <c r="D861" s="94"/>
      <c r="E861" s="282"/>
      <c r="F861" s="282"/>
      <c r="G861" s="94"/>
      <c r="H861" s="94"/>
      <c r="I861" s="94"/>
      <c r="J861" s="94"/>
      <c r="K861" s="94"/>
      <c r="L861" s="94"/>
    </row>
    <row r="862" spans="1:12" ht="13.5" customHeight="1">
      <c r="A862" s="94"/>
      <c r="B862" s="94"/>
      <c r="C862" s="94"/>
      <c r="D862" s="94"/>
      <c r="E862" s="282"/>
      <c r="F862" s="282"/>
      <c r="G862" s="94"/>
      <c r="H862" s="94"/>
      <c r="I862" s="94"/>
      <c r="J862" s="94"/>
      <c r="K862" s="94"/>
      <c r="L862" s="94"/>
    </row>
    <row r="863" spans="1:12" ht="13.5" customHeight="1">
      <c r="A863" s="94"/>
      <c r="B863" s="94"/>
      <c r="C863" s="94"/>
      <c r="D863" s="94"/>
      <c r="E863" s="282"/>
      <c r="F863" s="282"/>
      <c r="G863" s="94"/>
      <c r="H863" s="94"/>
      <c r="I863" s="94"/>
      <c r="J863" s="94"/>
      <c r="K863" s="94"/>
      <c r="L863" s="94"/>
    </row>
    <row r="864" spans="1:12" ht="13.5" customHeight="1">
      <c r="A864" s="94"/>
      <c r="B864" s="94"/>
      <c r="C864" s="94"/>
      <c r="D864" s="94"/>
      <c r="E864" s="282"/>
      <c r="F864" s="282"/>
      <c r="G864" s="94"/>
      <c r="H864" s="94"/>
      <c r="I864" s="94"/>
      <c r="J864" s="94"/>
      <c r="K864" s="94"/>
      <c r="L864" s="94"/>
    </row>
    <row r="865" spans="1:12" ht="13.5" customHeight="1">
      <c r="A865" s="94"/>
      <c r="B865" s="94"/>
      <c r="C865" s="94"/>
      <c r="D865" s="94"/>
      <c r="E865" s="282"/>
      <c r="F865" s="282"/>
      <c r="G865" s="94"/>
      <c r="H865" s="94"/>
      <c r="I865" s="94"/>
      <c r="J865" s="94"/>
      <c r="K865" s="94"/>
      <c r="L865" s="94"/>
    </row>
    <row r="866" spans="1:12" ht="13.5" customHeight="1">
      <c r="A866" s="94"/>
      <c r="B866" s="94"/>
      <c r="C866" s="94"/>
      <c r="D866" s="94"/>
      <c r="E866" s="282"/>
      <c r="F866" s="282"/>
      <c r="G866" s="94"/>
      <c r="H866" s="94"/>
      <c r="I866" s="94"/>
      <c r="J866" s="94"/>
      <c r="K866" s="94"/>
      <c r="L866" s="94"/>
    </row>
    <row r="867" spans="1:12" ht="13.5" customHeight="1">
      <c r="A867" s="94"/>
      <c r="B867" s="94"/>
      <c r="C867" s="94"/>
      <c r="D867" s="94"/>
      <c r="E867" s="282"/>
      <c r="F867" s="282"/>
      <c r="G867" s="94"/>
      <c r="H867" s="94"/>
      <c r="I867" s="94"/>
      <c r="J867" s="94"/>
      <c r="K867" s="94"/>
      <c r="L867" s="94"/>
    </row>
    <row r="868" spans="1:12" ht="13.5" customHeight="1">
      <c r="A868" s="94"/>
      <c r="B868" s="94"/>
      <c r="C868" s="94"/>
      <c r="D868" s="94"/>
      <c r="E868" s="282"/>
      <c r="F868" s="282"/>
      <c r="G868" s="94"/>
      <c r="H868" s="94"/>
      <c r="I868" s="94"/>
      <c r="J868" s="94"/>
      <c r="K868" s="94"/>
      <c r="L868" s="94"/>
    </row>
    <row r="869" spans="1:12" ht="13.5" customHeight="1">
      <c r="A869" s="94"/>
      <c r="B869" s="94"/>
      <c r="C869" s="94"/>
      <c r="D869" s="94"/>
      <c r="E869" s="282"/>
      <c r="F869" s="282"/>
      <c r="G869" s="94"/>
      <c r="H869" s="94"/>
      <c r="I869" s="94"/>
      <c r="J869" s="94"/>
      <c r="K869" s="94"/>
      <c r="L869" s="94"/>
    </row>
    <row r="870" spans="1:12" ht="13.5" customHeight="1">
      <c r="A870" s="94"/>
      <c r="B870" s="94"/>
      <c r="C870" s="94"/>
      <c r="D870" s="94"/>
      <c r="E870" s="282"/>
      <c r="F870" s="282"/>
      <c r="G870" s="94"/>
      <c r="H870" s="94"/>
      <c r="I870" s="94"/>
      <c r="J870" s="94"/>
      <c r="K870" s="94"/>
      <c r="L870" s="94"/>
    </row>
    <row r="871" spans="1:12" ht="13.5" customHeight="1">
      <c r="A871" s="94"/>
      <c r="B871" s="94"/>
      <c r="C871" s="94"/>
      <c r="D871" s="94"/>
      <c r="E871" s="282"/>
      <c r="F871" s="282"/>
      <c r="G871" s="94"/>
      <c r="H871" s="94"/>
      <c r="I871" s="94"/>
      <c r="J871" s="94"/>
      <c r="K871" s="94"/>
      <c r="L871" s="94"/>
    </row>
    <row r="872" spans="1:12" ht="13.5" customHeight="1">
      <c r="A872" s="94"/>
      <c r="B872" s="94"/>
      <c r="C872" s="94"/>
      <c r="D872" s="94"/>
      <c r="E872" s="282"/>
      <c r="F872" s="282"/>
      <c r="G872" s="94"/>
      <c r="H872" s="94"/>
      <c r="I872" s="94"/>
      <c r="J872" s="94"/>
      <c r="K872" s="94"/>
      <c r="L872" s="94"/>
    </row>
    <row r="873" spans="1:12" ht="13.5" customHeight="1">
      <c r="A873" s="94"/>
      <c r="B873" s="94"/>
      <c r="C873" s="94"/>
      <c r="D873" s="94"/>
      <c r="E873" s="282"/>
      <c r="F873" s="282"/>
      <c r="G873" s="94"/>
      <c r="H873" s="94"/>
      <c r="I873" s="94"/>
      <c r="J873" s="94"/>
      <c r="K873" s="94"/>
      <c r="L873" s="94"/>
    </row>
    <row r="874" spans="1:12" ht="13.5" customHeight="1">
      <c r="A874" s="94"/>
      <c r="B874" s="94"/>
      <c r="C874" s="94"/>
      <c r="D874" s="94"/>
      <c r="E874" s="282"/>
      <c r="F874" s="282"/>
      <c r="G874" s="94"/>
      <c r="H874" s="94"/>
      <c r="I874" s="94"/>
      <c r="J874" s="94"/>
      <c r="K874" s="94"/>
      <c r="L874" s="94"/>
    </row>
    <row r="875" spans="1:12" ht="13.5" customHeight="1">
      <c r="A875" s="94"/>
      <c r="B875" s="94"/>
      <c r="C875" s="94"/>
      <c r="D875" s="94"/>
      <c r="E875" s="282"/>
      <c r="F875" s="282"/>
      <c r="G875" s="94"/>
      <c r="H875" s="94"/>
      <c r="I875" s="94"/>
      <c r="J875" s="94"/>
      <c r="K875" s="94"/>
      <c r="L875" s="94"/>
    </row>
    <row r="876" spans="1:12" ht="13.5" customHeight="1">
      <c r="A876" s="94"/>
      <c r="B876" s="94"/>
      <c r="C876" s="94"/>
      <c r="D876" s="94"/>
      <c r="E876" s="282"/>
      <c r="F876" s="282"/>
      <c r="G876" s="94"/>
      <c r="H876" s="94"/>
      <c r="I876" s="94"/>
      <c r="J876" s="94"/>
      <c r="K876" s="94"/>
      <c r="L876" s="94"/>
    </row>
    <row r="877" spans="1:12" ht="13.5" customHeight="1">
      <c r="A877" s="94"/>
      <c r="B877" s="94"/>
      <c r="C877" s="94"/>
      <c r="D877" s="94"/>
      <c r="E877" s="282"/>
      <c r="F877" s="282"/>
      <c r="G877" s="94"/>
      <c r="H877" s="94"/>
      <c r="I877" s="94"/>
      <c r="J877" s="94"/>
      <c r="K877" s="94"/>
      <c r="L877" s="94"/>
    </row>
    <row r="878" spans="1:12" ht="13.5" customHeight="1">
      <c r="A878" s="94"/>
      <c r="B878" s="94"/>
      <c r="C878" s="94"/>
      <c r="D878" s="94"/>
      <c r="E878" s="282"/>
      <c r="F878" s="282"/>
      <c r="G878" s="94"/>
      <c r="H878" s="94"/>
      <c r="I878" s="94"/>
      <c r="J878" s="94"/>
      <c r="K878" s="94"/>
      <c r="L878" s="94"/>
    </row>
    <row r="879" spans="1:12" ht="13.5" customHeight="1">
      <c r="A879" s="94"/>
      <c r="B879" s="94"/>
      <c r="C879" s="94"/>
      <c r="D879" s="94"/>
      <c r="E879" s="282"/>
      <c r="F879" s="282"/>
      <c r="G879" s="94"/>
      <c r="H879" s="94"/>
      <c r="I879" s="94"/>
      <c r="J879" s="94"/>
      <c r="K879" s="94"/>
      <c r="L879" s="94"/>
    </row>
    <row r="880" spans="1:12" ht="13.5" customHeight="1">
      <c r="A880" s="94"/>
      <c r="B880" s="94"/>
      <c r="C880" s="94"/>
      <c r="D880" s="94"/>
      <c r="E880" s="282"/>
      <c r="F880" s="282"/>
      <c r="G880" s="94"/>
      <c r="H880" s="94"/>
      <c r="I880" s="94"/>
      <c r="J880" s="94"/>
      <c r="K880" s="94"/>
      <c r="L880" s="94"/>
    </row>
    <row r="881" spans="1:12" ht="13.5" customHeight="1">
      <c r="A881" s="94"/>
      <c r="B881" s="94"/>
      <c r="C881" s="94"/>
      <c r="D881" s="94"/>
      <c r="E881" s="282"/>
      <c r="F881" s="282"/>
      <c r="G881" s="94"/>
      <c r="H881" s="94"/>
      <c r="I881" s="94"/>
      <c r="J881" s="94"/>
      <c r="K881" s="94"/>
      <c r="L881" s="94"/>
    </row>
    <row r="882" spans="1:12" ht="13.5" customHeight="1">
      <c r="A882" s="94"/>
      <c r="B882" s="94"/>
      <c r="C882" s="94"/>
      <c r="D882" s="94"/>
      <c r="E882" s="282"/>
      <c r="F882" s="282"/>
      <c r="G882" s="94"/>
      <c r="H882" s="94"/>
      <c r="I882" s="94"/>
      <c r="J882" s="94"/>
      <c r="K882" s="94"/>
      <c r="L882" s="94"/>
    </row>
    <row r="883" spans="1:12" ht="13.5" customHeight="1">
      <c r="A883" s="94"/>
      <c r="B883" s="94"/>
      <c r="C883" s="94"/>
      <c r="D883" s="94"/>
      <c r="E883" s="282"/>
      <c r="F883" s="282"/>
      <c r="G883" s="94"/>
      <c r="H883" s="94"/>
      <c r="I883" s="94"/>
      <c r="J883" s="94"/>
      <c r="K883" s="94"/>
      <c r="L883" s="94"/>
    </row>
    <row r="884" spans="1:12" ht="13.5" customHeight="1">
      <c r="A884" s="94"/>
      <c r="B884" s="94"/>
      <c r="C884" s="94"/>
      <c r="D884" s="94"/>
      <c r="E884" s="282"/>
      <c r="F884" s="282"/>
      <c r="G884" s="94"/>
      <c r="H884" s="94"/>
      <c r="I884" s="94"/>
      <c r="J884" s="94"/>
      <c r="K884" s="94"/>
      <c r="L884" s="94"/>
    </row>
    <row r="885" spans="1:12" ht="13.5" customHeight="1">
      <c r="A885" s="94"/>
      <c r="B885" s="94"/>
      <c r="C885" s="94"/>
      <c r="D885" s="94"/>
      <c r="E885" s="282"/>
      <c r="F885" s="282"/>
      <c r="G885" s="94"/>
      <c r="H885" s="94"/>
      <c r="I885" s="94"/>
      <c r="J885" s="94"/>
      <c r="K885" s="94"/>
      <c r="L885" s="94"/>
    </row>
    <row r="886" spans="1:12" ht="13.5" customHeight="1">
      <c r="A886" s="94"/>
      <c r="B886" s="94"/>
      <c r="C886" s="94"/>
      <c r="D886" s="94"/>
      <c r="E886" s="282"/>
      <c r="F886" s="282"/>
      <c r="G886" s="94"/>
      <c r="H886" s="94"/>
      <c r="I886" s="94"/>
      <c r="J886" s="94"/>
      <c r="K886" s="94"/>
      <c r="L886" s="94"/>
    </row>
    <row r="887" spans="1:12" ht="13.5" customHeight="1">
      <c r="A887" s="94"/>
      <c r="B887" s="94"/>
      <c r="C887" s="94"/>
      <c r="D887" s="94"/>
      <c r="E887" s="282"/>
      <c r="F887" s="282"/>
      <c r="G887" s="94"/>
      <c r="H887" s="94"/>
      <c r="I887" s="94"/>
      <c r="J887" s="94"/>
      <c r="K887" s="94"/>
      <c r="L887" s="94"/>
    </row>
    <row r="888" spans="1:12" ht="13.5" customHeight="1">
      <c r="A888" s="94"/>
      <c r="B888" s="94"/>
      <c r="C888" s="94"/>
      <c r="D888" s="94"/>
      <c r="E888" s="282"/>
      <c r="F888" s="282"/>
      <c r="G888" s="94"/>
      <c r="H888" s="94"/>
      <c r="I888" s="94"/>
      <c r="J888" s="94"/>
      <c r="K888" s="94"/>
      <c r="L888" s="94"/>
    </row>
    <row r="889" spans="1:12" ht="13.5" customHeight="1">
      <c r="A889" s="94"/>
      <c r="B889" s="94"/>
      <c r="C889" s="94"/>
      <c r="D889" s="94"/>
      <c r="E889" s="282"/>
      <c r="F889" s="282"/>
      <c r="G889" s="94"/>
      <c r="H889" s="94"/>
      <c r="I889" s="94"/>
      <c r="J889" s="94"/>
      <c r="K889" s="94"/>
      <c r="L889" s="94"/>
    </row>
    <row r="890" spans="1:12" ht="13.5" customHeight="1">
      <c r="A890" s="94"/>
      <c r="B890" s="94"/>
      <c r="C890" s="94"/>
      <c r="D890" s="94"/>
      <c r="E890" s="282"/>
      <c r="F890" s="282"/>
      <c r="G890" s="94"/>
      <c r="H890" s="94"/>
      <c r="I890" s="94"/>
      <c r="J890" s="94"/>
      <c r="K890" s="94"/>
      <c r="L890" s="94"/>
    </row>
    <row r="891" spans="1:12" ht="13.5" customHeight="1">
      <c r="A891" s="94"/>
      <c r="B891" s="94"/>
      <c r="C891" s="94"/>
      <c r="D891" s="94"/>
      <c r="E891" s="282"/>
      <c r="F891" s="282"/>
      <c r="G891" s="94"/>
      <c r="H891" s="94"/>
      <c r="I891" s="94"/>
      <c r="J891" s="94"/>
      <c r="K891" s="94"/>
      <c r="L891" s="94"/>
    </row>
    <row r="892" spans="1:12" ht="13.5" customHeight="1">
      <c r="A892" s="94"/>
      <c r="B892" s="94"/>
      <c r="C892" s="94"/>
      <c r="D892" s="94"/>
      <c r="E892" s="282"/>
      <c r="F892" s="282"/>
      <c r="G892" s="94"/>
      <c r="H892" s="94"/>
      <c r="I892" s="94"/>
      <c r="J892" s="94"/>
      <c r="K892" s="94"/>
      <c r="L892" s="94"/>
    </row>
    <row r="893" spans="1:12" ht="13.5" customHeight="1">
      <c r="A893" s="94"/>
      <c r="B893" s="94"/>
      <c r="C893" s="94"/>
      <c r="D893" s="94"/>
      <c r="E893" s="282"/>
      <c r="F893" s="282"/>
      <c r="G893" s="94"/>
      <c r="H893" s="94"/>
      <c r="I893" s="94"/>
      <c r="J893" s="94"/>
      <c r="K893" s="94"/>
      <c r="L893" s="94"/>
    </row>
    <row r="894" spans="1:12" ht="13.5" customHeight="1">
      <c r="A894" s="94"/>
      <c r="B894" s="94"/>
      <c r="C894" s="94"/>
      <c r="D894" s="94"/>
      <c r="E894" s="282"/>
      <c r="F894" s="282"/>
      <c r="G894" s="94"/>
      <c r="H894" s="94"/>
      <c r="I894" s="94"/>
      <c r="J894" s="94"/>
      <c r="K894" s="94"/>
      <c r="L894" s="94"/>
    </row>
    <row r="895" spans="1:12" ht="13.5" customHeight="1">
      <c r="A895" s="94"/>
      <c r="B895" s="94"/>
      <c r="C895" s="94"/>
      <c r="D895" s="94"/>
      <c r="E895" s="282"/>
      <c r="F895" s="282"/>
      <c r="G895" s="94"/>
      <c r="H895" s="94"/>
      <c r="I895" s="94"/>
      <c r="J895" s="94"/>
      <c r="K895" s="94"/>
      <c r="L895" s="94"/>
    </row>
    <row r="896" spans="1:12" ht="13.5" customHeight="1">
      <c r="A896" s="94"/>
      <c r="B896" s="94"/>
      <c r="C896" s="94"/>
      <c r="D896" s="94"/>
      <c r="E896" s="282"/>
      <c r="F896" s="282"/>
      <c r="G896" s="94"/>
      <c r="H896" s="94"/>
      <c r="I896" s="94"/>
      <c r="J896" s="94"/>
      <c r="K896" s="94"/>
      <c r="L896" s="94"/>
    </row>
    <row r="897" spans="1:12" ht="13.5" customHeight="1">
      <c r="A897" s="94"/>
      <c r="B897" s="94"/>
      <c r="C897" s="94"/>
      <c r="D897" s="94"/>
      <c r="E897" s="282"/>
      <c r="F897" s="282"/>
      <c r="G897" s="94"/>
      <c r="H897" s="94"/>
      <c r="I897" s="94"/>
      <c r="J897" s="94"/>
      <c r="K897" s="94"/>
      <c r="L897" s="94"/>
    </row>
    <row r="898" spans="1:12" ht="13.5" customHeight="1">
      <c r="A898" s="94"/>
      <c r="B898" s="94"/>
      <c r="C898" s="94"/>
      <c r="D898" s="94"/>
      <c r="E898" s="282"/>
      <c r="F898" s="282"/>
      <c r="G898" s="94"/>
      <c r="H898" s="94"/>
      <c r="I898" s="94"/>
      <c r="J898" s="94"/>
      <c r="K898" s="94"/>
      <c r="L898" s="94"/>
    </row>
    <row r="899" spans="1:12" ht="13.5" customHeight="1">
      <c r="A899" s="94"/>
      <c r="B899" s="94"/>
      <c r="C899" s="94"/>
      <c r="D899" s="94"/>
      <c r="E899" s="282"/>
      <c r="F899" s="282"/>
      <c r="G899" s="94"/>
      <c r="H899" s="94"/>
      <c r="I899" s="94"/>
      <c r="J899" s="94"/>
      <c r="K899" s="94"/>
      <c r="L899" s="94"/>
    </row>
    <row r="900" spans="1:12" ht="13.5" customHeight="1">
      <c r="A900" s="94"/>
      <c r="B900" s="94"/>
      <c r="C900" s="94"/>
      <c r="D900" s="94"/>
      <c r="E900" s="282"/>
      <c r="F900" s="282"/>
      <c r="G900" s="94"/>
      <c r="H900" s="94"/>
      <c r="I900" s="94"/>
      <c r="J900" s="94"/>
      <c r="K900" s="94"/>
      <c r="L900" s="94"/>
    </row>
    <row r="901" spans="1:12" ht="13.5" customHeight="1">
      <c r="A901" s="94"/>
      <c r="B901" s="94"/>
      <c r="C901" s="94"/>
      <c r="D901" s="94"/>
      <c r="E901" s="282"/>
      <c r="F901" s="282"/>
      <c r="G901" s="94"/>
      <c r="H901" s="94"/>
      <c r="I901" s="94"/>
      <c r="J901" s="94"/>
      <c r="K901" s="94"/>
      <c r="L901" s="94"/>
    </row>
    <row r="902" spans="1:12" ht="13.5" customHeight="1">
      <c r="A902" s="94"/>
      <c r="B902" s="94"/>
      <c r="C902" s="94"/>
      <c r="D902" s="94"/>
      <c r="E902" s="282"/>
      <c r="F902" s="282"/>
      <c r="G902" s="94"/>
      <c r="H902" s="94"/>
      <c r="I902" s="94"/>
      <c r="J902" s="94"/>
      <c r="K902" s="94"/>
      <c r="L902" s="94"/>
    </row>
    <row r="903" spans="1:12" ht="13.5" customHeight="1">
      <c r="A903" s="94"/>
      <c r="B903" s="94"/>
      <c r="C903" s="94"/>
      <c r="D903" s="94"/>
      <c r="E903" s="282"/>
      <c r="F903" s="282"/>
      <c r="G903" s="94"/>
      <c r="H903" s="94"/>
      <c r="I903" s="94"/>
      <c r="J903" s="94"/>
      <c r="K903" s="94"/>
      <c r="L903" s="94"/>
    </row>
    <row r="904" spans="1:12" ht="13.5" customHeight="1">
      <c r="A904" s="94"/>
      <c r="B904" s="94"/>
      <c r="C904" s="94"/>
      <c r="D904" s="94"/>
      <c r="E904" s="282"/>
      <c r="F904" s="282"/>
      <c r="G904" s="94"/>
      <c r="H904" s="94"/>
      <c r="I904" s="94"/>
      <c r="J904" s="94"/>
      <c r="K904" s="94"/>
      <c r="L904" s="94"/>
    </row>
    <row r="905" spans="1:12" ht="13.5" customHeight="1">
      <c r="A905" s="94"/>
      <c r="B905" s="94"/>
      <c r="C905" s="94"/>
      <c r="D905" s="94"/>
      <c r="E905" s="282"/>
      <c r="F905" s="282"/>
      <c r="G905" s="94"/>
      <c r="H905" s="94"/>
      <c r="I905" s="94"/>
      <c r="J905" s="94"/>
      <c r="K905" s="94"/>
      <c r="L905" s="94"/>
    </row>
    <row r="906" spans="1:12" ht="13.5" customHeight="1">
      <c r="A906" s="94"/>
      <c r="B906" s="94"/>
      <c r="C906" s="94"/>
      <c r="D906" s="94"/>
      <c r="E906" s="282"/>
      <c r="F906" s="282"/>
      <c r="G906" s="94"/>
      <c r="H906" s="94"/>
      <c r="I906" s="94"/>
      <c r="J906" s="94"/>
      <c r="K906" s="94"/>
      <c r="L906" s="94"/>
    </row>
    <row r="907" spans="1:12" ht="13.5" customHeight="1">
      <c r="A907" s="94"/>
      <c r="B907" s="94"/>
      <c r="C907" s="94"/>
      <c r="D907" s="94"/>
      <c r="E907" s="282"/>
      <c r="F907" s="282"/>
      <c r="G907" s="94"/>
      <c r="H907" s="94"/>
      <c r="I907" s="94"/>
      <c r="J907" s="94"/>
      <c r="K907" s="94"/>
      <c r="L907" s="94"/>
    </row>
    <row r="908" spans="1:12" ht="13.5" customHeight="1">
      <c r="A908" s="94"/>
      <c r="B908" s="94"/>
      <c r="C908" s="94"/>
      <c r="D908" s="94"/>
      <c r="E908" s="282"/>
      <c r="F908" s="282"/>
      <c r="G908" s="94"/>
      <c r="H908" s="94"/>
      <c r="I908" s="94"/>
      <c r="J908" s="94"/>
      <c r="K908" s="94"/>
      <c r="L908" s="94"/>
    </row>
    <row r="909" spans="1:12" ht="13.5" customHeight="1">
      <c r="A909" s="94"/>
      <c r="B909" s="94"/>
      <c r="C909" s="94"/>
      <c r="D909" s="94"/>
      <c r="E909" s="282"/>
      <c r="F909" s="282"/>
      <c r="G909" s="94"/>
      <c r="H909" s="94"/>
      <c r="I909" s="94"/>
      <c r="J909" s="94"/>
      <c r="K909" s="94"/>
      <c r="L909" s="94"/>
    </row>
    <row r="910" spans="1:12" ht="13.5" customHeight="1">
      <c r="A910" s="94"/>
      <c r="B910" s="94"/>
      <c r="C910" s="94"/>
      <c r="D910" s="94"/>
      <c r="E910" s="282"/>
      <c r="F910" s="282"/>
      <c r="G910" s="94"/>
      <c r="H910" s="94"/>
      <c r="I910" s="94"/>
      <c r="J910" s="94"/>
      <c r="K910" s="94"/>
      <c r="L910" s="94"/>
    </row>
    <row r="911" spans="1:12" ht="13.5" customHeight="1">
      <c r="A911" s="94"/>
      <c r="B911" s="94"/>
      <c r="C911" s="94"/>
      <c r="D911" s="94"/>
      <c r="E911" s="282"/>
      <c r="F911" s="282"/>
      <c r="G911" s="94"/>
      <c r="H911" s="94"/>
      <c r="I911" s="94"/>
      <c r="J911" s="94"/>
      <c r="K911" s="94"/>
      <c r="L911" s="94"/>
    </row>
    <row r="912" spans="1:12" ht="13.5" customHeight="1">
      <c r="A912" s="94"/>
      <c r="B912" s="94"/>
      <c r="C912" s="94"/>
      <c r="D912" s="94"/>
      <c r="E912" s="282"/>
      <c r="F912" s="282"/>
      <c r="G912" s="94"/>
      <c r="H912" s="94"/>
      <c r="I912" s="94"/>
      <c r="J912" s="94"/>
      <c r="K912" s="94"/>
      <c r="L912" s="94"/>
    </row>
  </sheetData>
  <phoneticPr fontId="65" type="noConversion"/>
  <pageMargins left="0.7" right="0.7" top="0.75" bottom="0.75" header="0" footer="0"/>
  <pageSetup orientation="landscape"/>
  <ignoredErrors>
    <ignoredError sqref="D13 E13:J15 D15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C5E2-D257-4F84-81CD-CFED736A40A2}">
  <dimension ref="A1:J32"/>
  <sheetViews>
    <sheetView showGridLines="0" zoomScale="109" workbookViewId="0">
      <selection activeCell="F30" sqref="F30"/>
    </sheetView>
  </sheetViews>
  <sheetFormatPr baseColWidth="10" defaultColWidth="10.83203125" defaultRowHeight="14"/>
  <cols>
    <col min="1" max="1" width="2.6640625" style="70" customWidth="1"/>
    <col min="2" max="2" width="26.1640625" style="70" bestFit="1" customWidth="1"/>
    <col min="3" max="3" width="15" style="78" bestFit="1" customWidth="1"/>
    <col min="4" max="5" width="10.1640625" style="78" bestFit="1" customWidth="1"/>
    <col min="6" max="6" width="13.5" style="78" bestFit="1" customWidth="1"/>
    <col min="7" max="7" width="10.83203125" style="78"/>
    <col min="8" max="8" width="13.5" style="78" bestFit="1" customWidth="1"/>
    <col min="9" max="16384" width="10.83203125" style="70"/>
  </cols>
  <sheetData>
    <row r="1" spans="1:10">
      <c r="C1" s="70"/>
      <c r="D1" s="70"/>
      <c r="E1" s="70"/>
      <c r="F1" s="70"/>
      <c r="G1" s="70"/>
      <c r="H1" s="70"/>
    </row>
    <row r="2" spans="1:10" s="71" customFormat="1">
      <c r="A2" s="70"/>
      <c r="B2" s="72" t="s">
        <v>550</v>
      </c>
    </row>
    <row r="3" spans="1:10">
      <c r="B3" s="76"/>
      <c r="C3" s="76"/>
      <c r="D3" s="76"/>
      <c r="E3" s="76"/>
      <c r="F3" s="76"/>
      <c r="G3" s="76"/>
      <c r="H3" s="76"/>
      <c r="I3" s="76"/>
    </row>
    <row r="4" spans="1:10">
      <c r="A4" s="76"/>
      <c r="B4" s="74" t="s">
        <v>551</v>
      </c>
      <c r="C4" s="73"/>
      <c r="D4" s="73"/>
      <c r="E4" s="73"/>
      <c r="F4" s="73"/>
      <c r="G4" s="73"/>
      <c r="H4" s="73"/>
      <c r="I4" s="73"/>
      <c r="J4" s="76"/>
    </row>
    <row r="5" spans="1:10">
      <c r="B5" s="76" t="s">
        <v>552</v>
      </c>
      <c r="C5" s="86">
        <v>4.2549999999999998E-2</v>
      </c>
      <c r="D5" s="76"/>
      <c r="E5" s="76"/>
      <c r="F5" s="76"/>
      <c r="G5" s="76"/>
      <c r="H5" s="76"/>
      <c r="I5" s="76"/>
    </row>
    <row r="6" spans="1:10">
      <c r="B6" s="76" t="s">
        <v>621</v>
      </c>
      <c r="C6" s="86">
        <f>G32</f>
        <v>9.1965999999999975E-3</v>
      </c>
      <c r="D6" s="76"/>
      <c r="E6" s="76"/>
      <c r="F6" s="76"/>
      <c r="G6" s="76"/>
      <c r="H6" s="76"/>
      <c r="I6" s="76"/>
    </row>
    <row r="7" spans="1:10">
      <c r="B7" s="90" t="s">
        <v>648</v>
      </c>
      <c r="C7" s="91">
        <f>C5+C6</f>
        <v>5.1746599999999997E-2</v>
      </c>
      <c r="D7" s="76"/>
      <c r="E7" s="76"/>
      <c r="F7" s="76"/>
      <c r="G7" s="76"/>
      <c r="H7" s="76"/>
      <c r="I7" s="76"/>
    </row>
    <row r="8" spans="1:10">
      <c r="C8" s="70"/>
      <c r="D8" s="70"/>
      <c r="E8" s="70"/>
      <c r="F8" s="70"/>
      <c r="G8" s="70"/>
      <c r="H8" s="70"/>
    </row>
    <row r="9" spans="1:10">
      <c r="B9" s="74" t="s">
        <v>629</v>
      </c>
      <c r="C9" s="73"/>
      <c r="D9" s="73"/>
      <c r="E9" s="73"/>
      <c r="F9" s="73"/>
      <c r="G9" s="73"/>
      <c r="H9" s="73"/>
      <c r="I9" s="73"/>
    </row>
    <row r="10" spans="1:10">
      <c r="B10" s="70" t="s">
        <v>632</v>
      </c>
      <c r="C10" s="85" t="s">
        <v>633</v>
      </c>
      <c r="D10" s="70"/>
      <c r="E10" s="70"/>
      <c r="F10" s="70"/>
      <c r="G10" s="70"/>
      <c r="H10" s="70"/>
    </row>
    <row r="11" spans="1:10">
      <c r="B11" s="70" t="s">
        <v>630</v>
      </c>
      <c r="C11" s="85" t="s">
        <v>631</v>
      </c>
      <c r="D11" s="70"/>
      <c r="E11" s="70"/>
      <c r="F11" s="70"/>
      <c r="G11" s="70"/>
      <c r="H11" s="70"/>
    </row>
    <row r="12" spans="1:10">
      <c r="C12" s="70"/>
      <c r="D12" s="70"/>
      <c r="E12" s="70"/>
      <c r="F12" s="70"/>
      <c r="G12" s="70"/>
      <c r="H12" s="70"/>
    </row>
    <row r="13" spans="1:10">
      <c r="B13" s="74" t="s">
        <v>553</v>
      </c>
      <c r="C13" s="73"/>
      <c r="D13" s="73"/>
      <c r="E13" s="73"/>
      <c r="F13" s="73"/>
      <c r="G13" s="73"/>
      <c r="H13" s="73"/>
      <c r="I13" s="73"/>
    </row>
    <row r="14" spans="1:10">
      <c r="B14" s="77"/>
      <c r="C14" s="76"/>
      <c r="D14" s="76"/>
      <c r="E14" s="76"/>
      <c r="F14" s="76"/>
      <c r="G14" s="76"/>
      <c r="H14" s="76"/>
      <c r="I14" s="76"/>
    </row>
    <row r="15" spans="1:10">
      <c r="A15" s="76"/>
      <c r="B15" s="77"/>
      <c r="C15" s="76" t="s">
        <v>623</v>
      </c>
      <c r="D15" s="76" t="s">
        <v>647</v>
      </c>
      <c r="E15" s="76"/>
      <c r="F15" s="76"/>
      <c r="G15" s="70"/>
      <c r="H15" s="70"/>
    </row>
    <row r="16" spans="1:10">
      <c r="B16" s="76" t="s">
        <v>587</v>
      </c>
      <c r="C16" s="80" t="s">
        <v>627</v>
      </c>
      <c r="D16" s="70" t="s">
        <v>632</v>
      </c>
      <c r="E16" s="70"/>
      <c r="F16" s="70"/>
      <c r="G16" s="70"/>
      <c r="H16" s="70"/>
    </row>
    <row r="17" spans="2:8">
      <c r="B17" s="70" t="s">
        <v>590</v>
      </c>
      <c r="C17" s="78" t="s">
        <v>634</v>
      </c>
      <c r="D17" s="70" t="s">
        <v>632</v>
      </c>
      <c r="E17" s="70"/>
      <c r="F17" s="70"/>
      <c r="G17" s="70"/>
      <c r="H17" s="70"/>
    </row>
    <row r="18" spans="2:8">
      <c r="B18" s="70" t="s">
        <v>593</v>
      </c>
      <c r="C18" s="78" t="s">
        <v>634</v>
      </c>
      <c r="D18" s="70" t="s">
        <v>632</v>
      </c>
      <c r="E18" s="70"/>
      <c r="F18" s="70"/>
      <c r="G18" s="70"/>
      <c r="H18" s="70"/>
    </row>
    <row r="19" spans="2:8">
      <c r="B19" s="70" t="s">
        <v>596</v>
      </c>
      <c r="C19" s="78" t="s">
        <v>636</v>
      </c>
      <c r="D19" s="70" t="s">
        <v>635</v>
      </c>
      <c r="E19" s="70"/>
      <c r="F19" s="70"/>
      <c r="G19" s="70"/>
      <c r="H19" s="70"/>
    </row>
    <row r="20" spans="2:8">
      <c r="B20" s="82" t="s">
        <v>602</v>
      </c>
      <c r="C20" s="81" t="s">
        <v>631</v>
      </c>
      <c r="D20" s="82" t="s">
        <v>635</v>
      </c>
      <c r="E20" s="70"/>
      <c r="F20" s="70"/>
      <c r="G20" s="70"/>
      <c r="H20" s="70"/>
    </row>
    <row r="21" spans="2:8">
      <c r="B21" s="70" t="s">
        <v>605</v>
      </c>
      <c r="C21" s="78" t="s">
        <v>637</v>
      </c>
      <c r="D21" s="70" t="s">
        <v>632</v>
      </c>
      <c r="E21" s="70"/>
      <c r="F21" s="70"/>
      <c r="G21" s="70"/>
      <c r="H21" s="70"/>
    </row>
    <row r="22" spans="2:8">
      <c r="B22" s="70" t="s">
        <v>608</v>
      </c>
      <c r="C22" s="78" t="s">
        <v>638</v>
      </c>
      <c r="D22" s="70" t="s">
        <v>635</v>
      </c>
      <c r="E22" s="70"/>
      <c r="F22" s="70"/>
      <c r="G22" s="70"/>
      <c r="H22" s="70"/>
    </row>
    <row r="23" spans="2:8">
      <c r="B23" s="70" t="s">
        <v>611</v>
      </c>
      <c r="C23" s="78" t="s">
        <v>639</v>
      </c>
      <c r="D23" s="70" t="s">
        <v>632</v>
      </c>
      <c r="E23" s="70"/>
      <c r="F23" s="70"/>
      <c r="G23" s="70"/>
      <c r="H23" s="70"/>
    </row>
    <row r="25" spans="2:8">
      <c r="B25" s="84" t="s">
        <v>640</v>
      </c>
      <c r="C25" s="73" t="s">
        <v>626</v>
      </c>
      <c r="D25" s="73" t="s">
        <v>625</v>
      </c>
      <c r="E25" s="73" t="s">
        <v>624</v>
      </c>
      <c r="F25" s="73" t="s">
        <v>622</v>
      </c>
      <c r="G25" s="73" t="s">
        <v>621</v>
      </c>
    </row>
    <row r="26" spans="2:8">
      <c r="B26" s="70" t="s">
        <v>641</v>
      </c>
      <c r="C26" s="87">
        <v>4.5019999999999998E-2</v>
      </c>
      <c r="D26" s="88">
        <v>2027</v>
      </c>
      <c r="E26" s="88">
        <f>D26-2025</f>
        <v>2</v>
      </c>
      <c r="F26" s="87">
        <v>3.7400000000000003E-2</v>
      </c>
      <c r="G26" s="89">
        <f>C26-F26</f>
        <v>7.6199999999999948E-3</v>
      </c>
    </row>
    <row r="27" spans="2:8">
      <c r="B27" s="70" t="s">
        <v>642</v>
      </c>
      <c r="C27" s="89">
        <f>4.786%</f>
        <v>4.7859999999999993E-2</v>
      </c>
      <c r="D27" s="88">
        <v>2028</v>
      </c>
      <c r="E27" s="88">
        <f>D27-2025</f>
        <v>3</v>
      </c>
      <c r="F27" s="89">
        <v>3.7600000000000001E-2</v>
      </c>
      <c r="G27" s="89">
        <f>C27-F27</f>
        <v>1.0259999999999991E-2</v>
      </c>
    </row>
    <row r="28" spans="2:8">
      <c r="B28" s="70" t="s">
        <v>643</v>
      </c>
      <c r="C28" s="89">
        <v>4.6242999999999999E-2</v>
      </c>
      <c r="D28" s="88">
        <v>2029</v>
      </c>
      <c r="E28" s="88">
        <f>D28-2025</f>
        <v>4</v>
      </c>
      <c r="F28" s="89">
        <v>3.8199999999999998E-2</v>
      </c>
      <c r="G28" s="89">
        <f t="shared" ref="G28:G30" si="0">C28-F28</f>
        <v>8.0430000000000015E-3</v>
      </c>
    </row>
    <row r="29" spans="2:8">
      <c r="B29" s="70" t="s">
        <v>644</v>
      </c>
      <c r="C29" s="89">
        <v>4.8548000000000001E-2</v>
      </c>
      <c r="D29" s="88">
        <v>2031</v>
      </c>
      <c r="E29" s="88">
        <f t="shared" ref="E29:E30" si="1">D29-2025</f>
        <v>6</v>
      </c>
      <c r="F29" s="89">
        <v>3.95E-2</v>
      </c>
      <c r="G29" s="89">
        <f t="shared" si="0"/>
        <v>9.0480000000000005E-3</v>
      </c>
    </row>
    <row r="30" spans="2:8">
      <c r="B30" s="70" t="s">
        <v>645</v>
      </c>
      <c r="C30" s="89">
        <v>5.5011999999999998E-2</v>
      </c>
      <c r="D30" s="88">
        <v>2037</v>
      </c>
      <c r="E30" s="88">
        <f t="shared" si="1"/>
        <v>12</v>
      </c>
      <c r="F30" s="89">
        <v>4.3999999999999997E-2</v>
      </c>
      <c r="G30" s="89">
        <f t="shared" si="0"/>
        <v>1.1012000000000001E-2</v>
      </c>
    </row>
    <row r="32" spans="2:8">
      <c r="F32" s="78" t="s">
        <v>646</v>
      </c>
      <c r="G32" s="79">
        <f>AVERAGE(G26:G30)</f>
        <v>9.1965999999999975E-3</v>
      </c>
    </row>
  </sheetData>
  <phoneticPr fontId="65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EC34-2F42-9F43-9F90-993CA23D4808}">
  <dimension ref="A1:O49"/>
  <sheetViews>
    <sheetView zoomScale="75" zoomScaleNormal="117" workbookViewId="0">
      <selection activeCell="J26" sqref="J26"/>
    </sheetView>
  </sheetViews>
  <sheetFormatPr baseColWidth="10" defaultColWidth="10.83203125" defaultRowHeight="16"/>
  <cols>
    <col min="1" max="1" width="44.83203125" style="154" bestFit="1" customWidth="1"/>
    <col min="2" max="2" width="13.83203125" style="154" bestFit="1" customWidth="1"/>
    <col min="3" max="3" width="10.83203125" style="154"/>
    <col min="4" max="4" width="17.5" style="154" bestFit="1" customWidth="1"/>
    <col min="5" max="5" width="14" style="154" bestFit="1" customWidth="1"/>
    <col min="6" max="6" width="13.1640625" style="154" customWidth="1"/>
    <col min="7" max="8" width="10.83203125" style="154" customWidth="1"/>
    <col min="9" max="9" width="13.5" style="154" customWidth="1"/>
    <col min="10" max="10" width="13.6640625" style="154" customWidth="1"/>
    <col min="11" max="11" width="11.5" style="154" customWidth="1"/>
    <col min="12" max="12" width="10.33203125" style="154" bestFit="1" customWidth="1"/>
    <col min="13" max="13" width="19" style="154" customWidth="1"/>
    <col min="14" max="14" width="36.5" style="154" customWidth="1"/>
    <col min="15" max="15" width="25.5" style="154" customWidth="1"/>
    <col min="16" max="16384" width="10.83203125" style="154"/>
  </cols>
  <sheetData>
    <row r="1" spans="1:15">
      <c r="A1" s="411" t="s">
        <v>554</v>
      </c>
      <c r="B1" s="411"/>
    </row>
    <row r="2" spans="1:15">
      <c r="A2" s="155" t="s">
        <v>555</v>
      </c>
      <c r="B2" s="156" t="s">
        <v>556</v>
      </c>
    </row>
    <row r="3" spans="1:15">
      <c r="A3" s="155" t="s">
        <v>557</v>
      </c>
      <c r="B3" s="156" t="s">
        <v>558</v>
      </c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5">
      <c r="A4" s="155" t="s">
        <v>559</v>
      </c>
      <c r="B4" s="156" t="s">
        <v>560</v>
      </c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</row>
    <row r="5" spans="1:15">
      <c r="A5" s="155" t="s">
        <v>561</v>
      </c>
      <c r="B5" s="156" t="s">
        <v>562</v>
      </c>
    </row>
    <row r="6" spans="1:15">
      <c r="A6" s="155" t="s">
        <v>563</v>
      </c>
      <c r="B6" s="156" t="s">
        <v>564</v>
      </c>
      <c r="G6" s="157"/>
    </row>
    <row r="7" spans="1:15">
      <c r="A7" s="155" t="s">
        <v>565</v>
      </c>
      <c r="B7" s="156" t="s">
        <v>566</v>
      </c>
      <c r="G7" s="158"/>
      <c r="H7" s="159"/>
    </row>
    <row r="8" spans="1:15">
      <c r="A8" s="155" t="s">
        <v>567</v>
      </c>
      <c r="B8" s="156" t="s">
        <v>568</v>
      </c>
      <c r="G8" s="158"/>
      <c r="H8" s="159"/>
    </row>
    <row r="9" spans="1:15">
      <c r="A9" s="155"/>
      <c r="B9" s="155"/>
      <c r="G9" s="158"/>
      <c r="H9" s="159"/>
    </row>
    <row r="10" spans="1:15"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</row>
    <row r="11" spans="1:15" ht="20">
      <c r="A11" s="408" t="s">
        <v>569</v>
      </c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</row>
    <row r="12" spans="1:15" ht="18">
      <c r="A12" s="414" t="s">
        <v>570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</row>
    <row r="13" spans="1:15" ht="18">
      <c r="A13" s="409" t="s">
        <v>571</v>
      </c>
      <c r="B13" s="409" t="s">
        <v>572</v>
      </c>
      <c r="C13" s="409" t="s">
        <v>573</v>
      </c>
      <c r="D13" s="410" t="s">
        <v>574</v>
      </c>
      <c r="E13" s="410"/>
      <c r="F13" s="410"/>
      <c r="G13" s="410" t="s">
        <v>575</v>
      </c>
      <c r="H13" s="410"/>
      <c r="I13" s="410"/>
      <c r="J13" s="410" t="s">
        <v>576</v>
      </c>
      <c r="K13" s="410"/>
      <c r="L13" s="410"/>
    </row>
    <row r="14" spans="1:15" ht="18">
      <c r="A14" s="410"/>
      <c r="B14" s="410"/>
      <c r="C14" s="410"/>
      <c r="D14" s="161" t="s">
        <v>577</v>
      </c>
      <c r="E14" s="161" t="s">
        <v>559</v>
      </c>
      <c r="F14" s="161" t="s">
        <v>578</v>
      </c>
      <c r="G14" s="161" t="s">
        <v>579</v>
      </c>
      <c r="H14" s="161" t="s">
        <v>191</v>
      </c>
      <c r="I14" s="161" t="s">
        <v>580</v>
      </c>
      <c r="J14" s="162" t="s">
        <v>565</v>
      </c>
      <c r="K14" s="162" t="s">
        <v>581</v>
      </c>
      <c r="L14" s="162" t="s">
        <v>582</v>
      </c>
    </row>
    <row r="15" spans="1:15" ht="18">
      <c r="A15" s="163" t="s">
        <v>583</v>
      </c>
      <c r="B15" s="163" t="s">
        <v>584</v>
      </c>
      <c r="C15" s="163" t="s">
        <v>585</v>
      </c>
      <c r="D15" s="164">
        <v>246.35</v>
      </c>
      <c r="E15" s="163" t="s">
        <v>586</v>
      </c>
      <c r="F15" s="163">
        <v>32009.45</v>
      </c>
      <c r="G15" s="163">
        <v>4298</v>
      </c>
      <c r="H15" s="163">
        <v>1145</v>
      </c>
      <c r="I15" s="163">
        <v>627.84</v>
      </c>
      <c r="J15" s="165">
        <v>31.78</v>
      </c>
      <c r="K15" s="165">
        <v>8.3000000000000007</v>
      </c>
      <c r="L15" s="165">
        <v>60.03</v>
      </c>
    </row>
    <row r="16" spans="1:15" ht="18">
      <c r="A16" s="166" t="s">
        <v>587</v>
      </c>
      <c r="B16" s="166" t="s">
        <v>584</v>
      </c>
      <c r="C16" s="166" t="s">
        <v>588</v>
      </c>
      <c r="D16" s="167">
        <v>1362.31</v>
      </c>
      <c r="E16" s="166" t="s">
        <v>589</v>
      </c>
      <c r="F16" s="166">
        <v>94472.04</v>
      </c>
      <c r="G16" s="166">
        <v>8880</v>
      </c>
      <c r="H16" s="166">
        <v>4710</v>
      </c>
      <c r="I16" s="166">
        <v>2175</v>
      </c>
      <c r="J16" s="168">
        <v>23.86</v>
      </c>
      <c r="K16" s="168">
        <v>11.9</v>
      </c>
      <c r="L16" s="168">
        <v>48.22</v>
      </c>
    </row>
    <row r="17" spans="1:15" ht="18">
      <c r="A17" s="166" t="s">
        <v>590</v>
      </c>
      <c r="B17" s="166" t="s">
        <v>584</v>
      </c>
      <c r="C17" s="166" t="s">
        <v>591</v>
      </c>
      <c r="D17" s="169">
        <v>47</v>
      </c>
      <c r="E17" s="170" t="s">
        <v>592</v>
      </c>
      <c r="F17" s="166">
        <v>3414.57</v>
      </c>
      <c r="G17" s="166">
        <v>787.94</v>
      </c>
      <c r="H17" s="166">
        <v>140.26</v>
      </c>
      <c r="I17" s="166">
        <v>59.03</v>
      </c>
      <c r="J17" s="168">
        <v>15.7</v>
      </c>
      <c r="K17" s="168">
        <v>1.47</v>
      </c>
      <c r="L17" s="168">
        <v>40.81</v>
      </c>
    </row>
    <row r="18" spans="1:15" ht="18">
      <c r="A18" s="166" t="s">
        <v>593</v>
      </c>
      <c r="B18" s="166" t="s">
        <v>584</v>
      </c>
      <c r="C18" s="166" t="s">
        <v>594</v>
      </c>
      <c r="D18" s="169">
        <v>101.85</v>
      </c>
      <c r="E18" s="170" t="s">
        <v>595</v>
      </c>
      <c r="F18" s="166">
        <v>18096.919999999998</v>
      </c>
      <c r="G18" s="166">
        <v>2503</v>
      </c>
      <c r="H18" s="166">
        <v>1108</v>
      </c>
      <c r="I18" s="166">
        <v>590.51</v>
      </c>
      <c r="J18" s="168">
        <v>37.229999999999997</v>
      </c>
      <c r="K18" s="168">
        <v>10.43</v>
      </c>
      <c r="L18" s="168">
        <v>43.28</v>
      </c>
    </row>
    <row r="19" spans="1:15" ht="18">
      <c r="A19" s="166" t="s">
        <v>596</v>
      </c>
      <c r="B19" s="166" t="s">
        <v>584</v>
      </c>
      <c r="C19" s="166" t="s">
        <v>597</v>
      </c>
      <c r="D19" s="169">
        <v>329.7</v>
      </c>
      <c r="E19" s="170" t="s">
        <v>598</v>
      </c>
      <c r="F19" s="166">
        <v>9070.1299999999992</v>
      </c>
      <c r="G19" s="166">
        <v>1639</v>
      </c>
      <c r="H19" s="166">
        <v>514.52</v>
      </c>
      <c r="I19" s="166">
        <v>289.49</v>
      </c>
      <c r="J19" s="168">
        <v>19.5</v>
      </c>
      <c r="K19" s="168">
        <v>5.81</v>
      </c>
      <c r="L19" s="168">
        <v>45.3</v>
      </c>
    </row>
    <row r="20" spans="1:15" ht="18">
      <c r="A20" s="171" t="s">
        <v>599</v>
      </c>
      <c r="B20" s="172"/>
      <c r="C20" s="172"/>
      <c r="D20" s="172"/>
      <c r="E20" s="172"/>
      <c r="F20" s="172"/>
      <c r="G20" s="172"/>
      <c r="H20" s="172"/>
      <c r="I20" s="172"/>
      <c r="J20" s="173">
        <f>AVERAGE(J15:J19)</f>
        <v>25.613999999999997</v>
      </c>
      <c r="K20" s="173">
        <f>AVERAGE(K15:K19)</f>
        <v>7.5820000000000007</v>
      </c>
      <c r="L20" s="173">
        <f>AVERAGE(L15:L19)</f>
        <v>47.527999999999999</v>
      </c>
    </row>
    <row r="21" spans="1:15" ht="18">
      <c r="A21" s="174" t="s">
        <v>600</v>
      </c>
      <c r="B21" s="166"/>
      <c r="C21" s="166"/>
      <c r="D21" s="166"/>
      <c r="E21" s="166"/>
      <c r="F21" s="166"/>
      <c r="G21" s="166"/>
      <c r="H21" s="166"/>
      <c r="I21" s="166"/>
      <c r="J21" s="175">
        <f>MEDIAN(J15:J19)</f>
        <v>23.86</v>
      </c>
      <c r="K21" s="175">
        <f>MEDIAN(K15:K19)</f>
        <v>8.3000000000000007</v>
      </c>
      <c r="L21" s="175">
        <f>MEDIAN(L15:L19)</f>
        <v>45.3</v>
      </c>
    </row>
    <row r="25" spans="1:15" ht="20">
      <c r="A25" s="408" t="s">
        <v>601</v>
      </c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</row>
    <row r="26" spans="1:15" ht="18">
      <c r="A26" s="160" t="s">
        <v>570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</row>
    <row r="27" spans="1:15" ht="18">
      <c r="A27" s="409" t="s">
        <v>571</v>
      </c>
      <c r="B27" s="409" t="s">
        <v>572</v>
      </c>
      <c r="C27" s="409" t="s">
        <v>573</v>
      </c>
      <c r="D27" s="410" t="s">
        <v>574</v>
      </c>
      <c r="E27" s="410"/>
      <c r="F27" s="410"/>
      <c r="G27" s="410" t="s">
        <v>575</v>
      </c>
      <c r="H27" s="410"/>
      <c r="I27" s="410"/>
      <c r="J27" s="410" t="s">
        <v>576</v>
      </c>
      <c r="K27" s="410"/>
      <c r="L27" s="410"/>
    </row>
    <row r="28" spans="1:15" ht="18">
      <c r="A28" s="410"/>
      <c r="B28" s="410"/>
      <c r="C28" s="410"/>
      <c r="D28" s="161" t="s">
        <v>577</v>
      </c>
      <c r="E28" s="161" t="s">
        <v>559</v>
      </c>
      <c r="F28" s="161" t="s">
        <v>578</v>
      </c>
      <c r="G28" s="161" t="s">
        <v>579</v>
      </c>
      <c r="H28" s="161" t="s">
        <v>191</v>
      </c>
      <c r="I28" s="161" t="s">
        <v>580</v>
      </c>
      <c r="J28" s="162" t="s">
        <v>565</v>
      </c>
      <c r="K28" s="162" t="s">
        <v>581</v>
      </c>
      <c r="L28" s="162" t="s">
        <v>582</v>
      </c>
      <c r="M28" s="176"/>
      <c r="N28" s="176"/>
      <c r="O28" s="176"/>
    </row>
    <row r="29" spans="1:15" ht="18">
      <c r="A29" s="163" t="s">
        <v>583</v>
      </c>
      <c r="B29" s="163" t="s">
        <v>584</v>
      </c>
      <c r="C29" s="163" t="s">
        <v>585</v>
      </c>
      <c r="D29" s="164">
        <v>246.35</v>
      </c>
      <c r="E29" s="163" t="s">
        <v>586</v>
      </c>
      <c r="F29" s="163">
        <v>32009.45</v>
      </c>
      <c r="G29" s="163">
        <v>4298</v>
      </c>
      <c r="H29" s="163">
        <v>1145</v>
      </c>
      <c r="I29" s="163">
        <v>627.84</v>
      </c>
      <c r="J29" s="165">
        <v>31.78</v>
      </c>
      <c r="K29" s="165">
        <v>8.3000000000000007</v>
      </c>
      <c r="L29" s="165">
        <v>60.03</v>
      </c>
    </row>
    <row r="30" spans="1:15" ht="18">
      <c r="A30" s="166" t="s">
        <v>602</v>
      </c>
      <c r="B30" s="166" t="s">
        <v>584</v>
      </c>
      <c r="C30" s="166" t="s">
        <v>603</v>
      </c>
      <c r="D30" s="169">
        <v>132</v>
      </c>
      <c r="E30" s="170" t="s">
        <v>604</v>
      </c>
      <c r="F30" s="166">
        <v>47001.85</v>
      </c>
      <c r="G30" s="166">
        <v>8072</v>
      </c>
      <c r="H30" s="166">
        <v>2172</v>
      </c>
      <c r="I30" s="166">
        <v>1326</v>
      </c>
      <c r="J30" s="168">
        <v>24.39</v>
      </c>
      <c r="K30" s="168">
        <v>6.34</v>
      </c>
      <c r="L30" s="168">
        <v>47.47</v>
      </c>
      <c r="M30" s="177"/>
    </row>
    <row r="31" spans="1:15" ht="18">
      <c r="A31" s="166" t="s">
        <v>593</v>
      </c>
      <c r="B31" s="166" t="s">
        <v>584</v>
      </c>
      <c r="C31" s="166" t="s">
        <v>594</v>
      </c>
      <c r="D31" s="169">
        <v>101.85</v>
      </c>
      <c r="E31" s="170" t="s">
        <v>595</v>
      </c>
      <c r="F31" s="166">
        <v>18096.919999999998</v>
      </c>
      <c r="G31" s="166">
        <v>2503</v>
      </c>
      <c r="H31" s="166">
        <v>1108</v>
      </c>
      <c r="I31" s="166">
        <v>590.51</v>
      </c>
      <c r="J31" s="168">
        <v>37.229999999999997</v>
      </c>
      <c r="K31" s="168">
        <v>10.43</v>
      </c>
      <c r="L31" s="168">
        <v>43.28</v>
      </c>
      <c r="M31" s="177"/>
    </row>
    <row r="32" spans="1:15" ht="18">
      <c r="A32" s="166" t="s">
        <v>590</v>
      </c>
      <c r="B32" s="166" t="s">
        <v>584</v>
      </c>
      <c r="C32" s="166" t="s">
        <v>591</v>
      </c>
      <c r="D32" s="169">
        <v>47</v>
      </c>
      <c r="E32" s="170" t="s">
        <v>592</v>
      </c>
      <c r="F32" s="166">
        <v>3414.57</v>
      </c>
      <c r="G32" s="166">
        <v>787.94</v>
      </c>
      <c r="H32" s="166">
        <v>140.26</v>
      </c>
      <c r="I32" s="166">
        <v>59.03</v>
      </c>
      <c r="J32" s="168">
        <v>15.7</v>
      </c>
      <c r="K32" s="168">
        <v>1.47</v>
      </c>
      <c r="L32" s="168">
        <v>40.81</v>
      </c>
      <c r="M32" s="177"/>
    </row>
    <row r="33" spans="1:13" ht="18">
      <c r="A33" s="166" t="s">
        <v>605</v>
      </c>
      <c r="B33" s="166" t="s">
        <v>584</v>
      </c>
      <c r="C33" s="166" t="s">
        <v>606</v>
      </c>
      <c r="D33" s="169">
        <v>121.05</v>
      </c>
      <c r="E33" s="170" t="s">
        <v>607</v>
      </c>
      <c r="F33" s="166">
        <v>191638.25</v>
      </c>
      <c r="G33" s="166">
        <v>84224</v>
      </c>
      <c r="H33" s="166">
        <v>13732</v>
      </c>
      <c r="I33" s="166">
        <v>8131</v>
      </c>
      <c r="J33" s="168">
        <v>13.61</v>
      </c>
      <c r="K33" s="168">
        <v>2.37</v>
      </c>
      <c r="L33" s="168">
        <v>35.76</v>
      </c>
      <c r="M33" s="177"/>
    </row>
    <row r="34" spans="1:13" ht="18">
      <c r="A34" s="166" t="s">
        <v>608</v>
      </c>
      <c r="B34" s="166" t="s">
        <v>584</v>
      </c>
      <c r="C34" s="166" t="s">
        <v>609</v>
      </c>
      <c r="D34" s="169">
        <v>155</v>
      </c>
      <c r="E34" s="170" t="s">
        <v>610</v>
      </c>
      <c r="F34" s="166">
        <v>7613.94</v>
      </c>
      <c r="G34" s="166">
        <v>3703</v>
      </c>
      <c r="H34" s="166">
        <v>546.5</v>
      </c>
      <c r="I34" s="166">
        <v>330.98</v>
      </c>
      <c r="J34" s="168">
        <v>16.27</v>
      </c>
      <c r="K34" s="168">
        <v>2.11</v>
      </c>
      <c r="L34" s="168">
        <v>25.74</v>
      </c>
      <c r="M34" s="177"/>
    </row>
    <row r="35" spans="1:13" ht="18">
      <c r="A35" s="166" t="s">
        <v>611</v>
      </c>
      <c r="B35" s="166" t="s">
        <v>584</v>
      </c>
      <c r="C35" s="166" t="s">
        <v>612</v>
      </c>
      <c r="D35" s="167">
        <v>199.24</v>
      </c>
      <c r="E35" s="166" t="s">
        <v>613</v>
      </c>
      <c r="F35" s="166">
        <v>167572.38</v>
      </c>
      <c r="G35" s="166">
        <v>40268</v>
      </c>
      <c r="H35" s="166">
        <v>10338</v>
      </c>
      <c r="I35" s="166">
        <v>6640</v>
      </c>
      <c r="J35" s="168">
        <v>17.809999999999999</v>
      </c>
      <c r="K35" s="168">
        <v>4.3499999999999996</v>
      </c>
      <c r="L35" s="168">
        <v>23.06</v>
      </c>
      <c r="M35" s="177"/>
    </row>
    <row r="36" spans="1:13" ht="18">
      <c r="A36" s="171" t="s">
        <v>599</v>
      </c>
      <c r="B36" s="172"/>
      <c r="C36" s="172"/>
      <c r="D36" s="172"/>
      <c r="E36" s="172"/>
      <c r="F36" s="172"/>
      <c r="G36" s="172"/>
      <c r="H36" s="172"/>
      <c r="I36" s="172"/>
      <c r="J36" s="173">
        <f>AVERAGE(J29:J35)</f>
        <v>22.398571428571433</v>
      </c>
      <c r="K36" s="173">
        <f>AVERAGE(K29:K35)</f>
        <v>5.0528571428571425</v>
      </c>
      <c r="L36" s="173">
        <f>AVERAGE(L29:L35)</f>
        <v>39.449999999999996</v>
      </c>
    </row>
    <row r="37" spans="1:13" ht="18">
      <c r="A37" s="174" t="s">
        <v>600</v>
      </c>
      <c r="B37" s="166"/>
      <c r="C37" s="166"/>
      <c r="D37" s="166"/>
      <c r="E37" s="166"/>
      <c r="F37" s="166"/>
      <c r="G37" s="166"/>
      <c r="H37" s="166"/>
      <c r="I37" s="166"/>
      <c r="J37" s="175">
        <f>MEDIAN(J29:J35)</f>
        <v>17.809999999999999</v>
      </c>
      <c r="K37" s="175">
        <f>MEDIAN(K29:K35)</f>
        <v>4.3499999999999996</v>
      </c>
      <c r="L37" s="175">
        <f>MEDIAN(L29:L35)</f>
        <v>40.81</v>
      </c>
    </row>
    <row r="39" spans="1:13" ht="20">
      <c r="A39" s="408" t="s">
        <v>614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</row>
    <row r="40" spans="1:13" ht="18">
      <c r="A40" s="160" t="s">
        <v>570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</row>
    <row r="41" spans="1:13" ht="18">
      <c r="A41" s="409" t="s">
        <v>571</v>
      </c>
      <c r="B41" s="409" t="s">
        <v>572</v>
      </c>
      <c r="C41" s="409" t="s">
        <v>573</v>
      </c>
      <c r="D41" s="410" t="s">
        <v>574</v>
      </c>
      <c r="E41" s="410"/>
      <c r="F41" s="410"/>
      <c r="G41" s="410" t="s">
        <v>575</v>
      </c>
      <c r="H41" s="410"/>
      <c r="I41" s="410"/>
      <c r="J41" s="410" t="s">
        <v>576</v>
      </c>
      <c r="K41" s="410"/>
      <c r="L41" s="410"/>
    </row>
    <row r="42" spans="1:13" ht="18">
      <c r="A42" s="409"/>
      <c r="B42" s="409"/>
      <c r="C42" s="409"/>
      <c r="D42" s="161" t="s">
        <v>577</v>
      </c>
      <c r="E42" s="161" t="s">
        <v>559</v>
      </c>
      <c r="F42" s="161" t="s">
        <v>578</v>
      </c>
      <c r="G42" s="161" t="s">
        <v>579</v>
      </c>
      <c r="H42" s="161" t="s">
        <v>191</v>
      </c>
      <c r="I42" s="161" t="s">
        <v>580</v>
      </c>
      <c r="J42" s="162" t="s">
        <v>565</v>
      </c>
      <c r="K42" s="162" t="s">
        <v>581</v>
      </c>
      <c r="L42" s="162" t="s">
        <v>582</v>
      </c>
    </row>
    <row r="43" spans="1:13" ht="18">
      <c r="A43" s="166" t="s">
        <v>615</v>
      </c>
      <c r="B43" s="166" t="s">
        <v>584</v>
      </c>
      <c r="C43" s="166" t="s">
        <v>616</v>
      </c>
      <c r="D43" s="169">
        <v>48.31</v>
      </c>
      <c r="E43" s="170" t="s">
        <v>617</v>
      </c>
      <c r="F43" s="166">
        <v>2012.73</v>
      </c>
      <c r="G43" s="166">
        <v>881.99</v>
      </c>
      <c r="H43" s="166">
        <v>103.1</v>
      </c>
      <c r="I43" s="166">
        <v>23.33</v>
      </c>
      <c r="J43" s="168">
        <v>31.19</v>
      </c>
      <c r="K43" s="168">
        <v>3.67</v>
      </c>
      <c r="L43" s="168">
        <v>68.790000000000006</v>
      </c>
    </row>
    <row r="44" spans="1:13" ht="18">
      <c r="A44" s="163" t="s">
        <v>583</v>
      </c>
      <c r="B44" s="163" t="s">
        <v>584</v>
      </c>
      <c r="C44" s="163" t="s">
        <v>585</v>
      </c>
      <c r="D44" s="164">
        <v>246.35</v>
      </c>
      <c r="E44" s="163" t="s">
        <v>586</v>
      </c>
      <c r="F44" s="163">
        <v>32009.45</v>
      </c>
      <c r="G44" s="163">
        <v>4298</v>
      </c>
      <c r="H44" s="163">
        <v>1145</v>
      </c>
      <c r="I44" s="163">
        <v>627.84</v>
      </c>
      <c r="J44" s="165">
        <v>31.78</v>
      </c>
      <c r="K44" s="165">
        <v>8.3000000000000007</v>
      </c>
      <c r="L44" s="165">
        <v>60.03</v>
      </c>
    </row>
    <row r="45" spans="1:13" ht="18">
      <c r="A45" s="166" t="s">
        <v>587</v>
      </c>
      <c r="B45" s="166" t="s">
        <v>584</v>
      </c>
      <c r="C45" s="166" t="s">
        <v>588</v>
      </c>
      <c r="D45" s="167">
        <v>1362.31</v>
      </c>
      <c r="E45" s="166" t="s">
        <v>589</v>
      </c>
      <c r="F45" s="166">
        <v>94472.04</v>
      </c>
      <c r="G45" s="166">
        <v>8880</v>
      </c>
      <c r="H45" s="166">
        <v>4710</v>
      </c>
      <c r="I45" s="166">
        <v>2175</v>
      </c>
      <c r="J45" s="168">
        <v>23.86</v>
      </c>
      <c r="K45" s="168">
        <v>11.9</v>
      </c>
      <c r="L45" s="168">
        <v>48.22</v>
      </c>
    </row>
    <row r="46" spans="1:13" ht="18">
      <c r="A46" s="166" t="s">
        <v>618</v>
      </c>
      <c r="B46" s="166" t="s">
        <v>584</v>
      </c>
      <c r="C46" s="166" t="s">
        <v>619</v>
      </c>
      <c r="D46" s="169">
        <v>325</v>
      </c>
      <c r="E46" s="170" t="s">
        <v>620</v>
      </c>
      <c r="F46" s="166">
        <v>14137.32</v>
      </c>
      <c r="G46" s="166">
        <v>3361</v>
      </c>
      <c r="H46" s="166">
        <v>721.87</v>
      </c>
      <c r="I46" s="166">
        <v>462.96</v>
      </c>
      <c r="J46" s="168">
        <v>21.67</v>
      </c>
      <c r="K46" s="168">
        <v>4.53</v>
      </c>
      <c r="L46" s="168">
        <v>31.79</v>
      </c>
    </row>
    <row r="47" spans="1:13" ht="18">
      <c r="A47" s="166" t="s">
        <v>605</v>
      </c>
      <c r="B47" s="166" t="s">
        <v>584</v>
      </c>
      <c r="C47" s="166" t="s">
        <v>606</v>
      </c>
      <c r="D47" s="169">
        <v>121.05</v>
      </c>
      <c r="E47" s="170" t="s">
        <v>607</v>
      </c>
      <c r="F47" s="166">
        <v>191638.25</v>
      </c>
      <c r="G47" s="166">
        <v>84224</v>
      </c>
      <c r="H47" s="166">
        <v>13732</v>
      </c>
      <c r="I47" s="166">
        <v>8131</v>
      </c>
      <c r="J47" s="168">
        <v>13.61</v>
      </c>
      <c r="K47" s="168">
        <v>2.37</v>
      </c>
      <c r="L47" s="168">
        <v>35.76</v>
      </c>
    </row>
    <row r="48" spans="1:13" ht="18">
      <c r="A48" s="171" t="s">
        <v>599</v>
      </c>
      <c r="B48" s="172"/>
      <c r="C48" s="172"/>
      <c r="D48" s="172"/>
      <c r="E48" s="172"/>
      <c r="F48" s="172"/>
      <c r="G48" s="172"/>
      <c r="H48" s="172"/>
      <c r="I48" s="172"/>
      <c r="J48" s="173">
        <f>AVERAGE(J43:J47)</f>
        <v>24.422000000000001</v>
      </c>
      <c r="K48" s="173">
        <f>AVERAGE(K43:K47)</f>
        <v>6.1540000000000008</v>
      </c>
      <c r="L48" s="173">
        <f>MEDIAN(L43:L47)</f>
        <v>48.22</v>
      </c>
    </row>
    <row r="49" spans="1:12" ht="18">
      <c r="A49" s="174" t="s">
        <v>600</v>
      </c>
      <c r="B49" s="166"/>
      <c r="C49" s="166"/>
      <c r="D49" s="166"/>
      <c r="E49" s="166"/>
      <c r="F49" s="166"/>
      <c r="G49" s="166"/>
      <c r="H49" s="166"/>
      <c r="I49" s="166"/>
      <c r="J49" s="175">
        <f>MEDIAN(J43:J47)</f>
        <v>23.86</v>
      </c>
      <c r="K49" s="175">
        <f>MEDIAN(K43:K47)</f>
        <v>4.53</v>
      </c>
      <c r="L49" s="175">
        <f>AVERAGE(L43:L47)</f>
        <v>48.917999999999992</v>
      </c>
    </row>
  </sheetData>
  <mergeCells count="25">
    <mergeCell ref="A1:B1"/>
    <mergeCell ref="D3:O3"/>
    <mergeCell ref="D4:O4"/>
    <mergeCell ref="A11:L11"/>
    <mergeCell ref="A12:L12"/>
    <mergeCell ref="J13:L13"/>
    <mergeCell ref="A25:L25"/>
    <mergeCell ref="A27:A28"/>
    <mergeCell ref="B27:B28"/>
    <mergeCell ref="C27:C28"/>
    <mergeCell ref="D27:F27"/>
    <mergeCell ref="G27:I27"/>
    <mergeCell ref="J27:L27"/>
    <mergeCell ref="A13:A14"/>
    <mergeCell ref="B13:B14"/>
    <mergeCell ref="C13:C14"/>
    <mergeCell ref="D13:F13"/>
    <mergeCell ref="G13:I13"/>
    <mergeCell ref="A39:L39"/>
    <mergeCell ref="A41:A42"/>
    <mergeCell ref="B41:B42"/>
    <mergeCell ref="C41:C42"/>
    <mergeCell ref="D41:F41"/>
    <mergeCell ref="G41:I41"/>
    <mergeCell ref="J41:L41"/>
  </mergeCells>
  <phoneticPr fontId="6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21:A1000"/>
  <sheetViews>
    <sheetView workbookViewId="0"/>
  </sheetViews>
  <sheetFormatPr baseColWidth="10" defaultColWidth="14.5" defaultRowHeight="15" customHeight="1"/>
  <cols>
    <col min="1" max="26" width="11.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65" type="noConversion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0A54D-6CDB-459E-A82F-89475FE8B72F}">
  <dimension ref="A1:Q81"/>
  <sheetViews>
    <sheetView showGridLines="0" tabSelected="1" zoomScale="141" workbookViewId="0">
      <selection activeCell="G17" sqref="G17"/>
    </sheetView>
  </sheetViews>
  <sheetFormatPr baseColWidth="10" defaultColWidth="11.5" defaultRowHeight="14"/>
  <cols>
    <col min="1" max="1" width="29.83203125" style="70" bestFit="1" customWidth="1"/>
    <col min="2" max="2" width="13.6640625" style="70" customWidth="1"/>
    <col min="3" max="4" width="11.83203125" style="70" bestFit="1" customWidth="1"/>
    <col min="5" max="5" width="15" style="70" customWidth="1"/>
    <col min="6" max="8" width="11.83203125" style="70" bestFit="1" customWidth="1"/>
    <col min="9" max="9" width="14.83203125" style="70" bestFit="1" customWidth="1"/>
    <col min="10" max="10" width="11.83203125" style="70" bestFit="1" customWidth="1"/>
    <col min="11" max="16384" width="11.5" style="70"/>
  </cols>
  <sheetData>
    <row r="1" spans="1:17" ht="28">
      <c r="A1" s="213" t="s">
        <v>165</v>
      </c>
      <c r="B1" s="214"/>
      <c r="C1" s="416" t="s">
        <v>166</v>
      </c>
      <c r="D1" s="416"/>
      <c r="E1" s="416"/>
      <c r="F1" s="416"/>
      <c r="G1" s="416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1:17">
      <c r="A2" s="213" t="s">
        <v>223</v>
      </c>
      <c r="B2" s="214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</row>
    <row r="3" spans="1:17">
      <c r="A3" s="213" t="s">
        <v>167</v>
      </c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</row>
    <row r="5" spans="1:17">
      <c r="A5" s="213" t="s">
        <v>168</v>
      </c>
      <c r="B5" s="214"/>
      <c r="C5" s="417" t="s">
        <v>169</v>
      </c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</row>
    <row r="7" spans="1:17" ht="28">
      <c r="A7" s="216" t="s">
        <v>170</v>
      </c>
      <c r="B7" s="216"/>
      <c r="C7" s="217" t="s">
        <v>170</v>
      </c>
      <c r="D7" s="218" t="s">
        <v>170</v>
      </c>
      <c r="E7" s="219" t="s">
        <v>171</v>
      </c>
      <c r="F7" s="418" t="s">
        <v>172</v>
      </c>
      <c r="G7" s="418"/>
      <c r="H7" s="418"/>
      <c r="I7" s="215"/>
      <c r="J7" s="215"/>
      <c r="K7" s="215"/>
      <c r="L7" s="215"/>
      <c r="M7" s="215"/>
      <c r="N7" s="215"/>
      <c r="O7" s="215"/>
      <c r="P7" s="215"/>
      <c r="Q7" s="215"/>
    </row>
    <row r="8" spans="1:17">
      <c r="A8" s="221" t="s">
        <v>170</v>
      </c>
      <c r="B8" s="222" t="s">
        <v>218</v>
      </c>
      <c r="C8" s="222" t="s">
        <v>173</v>
      </c>
      <c r="D8" s="222" t="s">
        <v>174</v>
      </c>
      <c r="E8" s="222" t="s">
        <v>175</v>
      </c>
      <c r="F8" s="223" t="s">
        <v>176</v>
      </c>
      <c r="G8" s="220" t="s">
        <v>177</v>
      </c>
      <c r="H8" s="220" t="s">
        <v>178</v>
      </c>
      <c r="I8" s="215">
        <v>2028</v>
      </c>
      <c r="J8" s="215">
        <v>2029</v>
      </c>
      <c r="K8" s="215"/>
      <c r="L8" s="215"/>
      <c r="M8" s="215"/>
      <c r="N8" s="215"/>
      <c r="O8" s="215"/>
      <c r="P8" s="215"/>
      <c r="Q8" s="215"/>
    </row>
    <row r="9" spans="1:17">
      <c r="A9" s="224" t="s">
        <v>179</v>
      </c>
      <c r="B9" s="224">
        <v>1865.682</v>
      </c>
      <c r="C9" s="225">
        <v>2208.3220000000001</v>
      </c>
      <c r="D9" s="225">
        <v>2968.105</v>
      </c>
      <c r="E9" s="225">
        <v>3857.6689999999999</v>
      </c>
      <c r="F9" s="226">
        <v>4297.7081600000001</v>
      </c>
      <c r="G9" s="225">
        <v>4610.7224999999999</v>
      </c>
      <c r="H9" s="225">
        <v>4921.9458000000004</v>
      </c>
      <c r="I9" s="215"/>
      <c r="J9" s="215"/>
      <c r="K9" s="215"/>
      <c r="L9" s="215"/>
      <c r="M9" s="215"/>
      <c r="N9" s="215"/>
      <c r="O9" s="215"/>
      <c r="P9" s="215"/>
      <c r="Q9" s="215"/>
    </row>
    <row r="10" spans="1:17">
      <c r="A10" s="227" t="s">
        <v>180</v>
      </c>
      <c r="B10" s="227"/>
      <c r="C10" s="228"/>
      <c r="D10" s="228"/>
      <c r="E10" s="228"/>
      <c r="F10" s="226"/>
      <c r="G10" s="228"/>
      <c r="H10" s="228"/>
      <c r="I10" s="215"/>
      <c r="J10" s="215"/>
      <c r="K10" s="215"/>
      <c r="L10" s="215"/>
      <c r="M10" s="215"/>
      <c r="N10" s="215"/>
      <c r="O10" s="215"/>
      <c r="P10" s="215"/>
      <c r="Q10" s="215"/>
    </row>
    <row r="11" spans="1:17">
      <c r="A11" s="227" t="s">
        <v>214</v>
      </c>
      <c r="B11" s="227">
        <v>709.62099999999998</v>
      </c>
      <c r="C11" s="228">
        <v>672.14700000000005</v>
      </c>
      <c r="D11" s="228">
        <v>918.37400000000002</v>
      </c>
      <c r="E11" s="228">
        <v>1004.511</v>
      </c>
      <c r="F11" s="226">
        <f>E11*(1+F12)</f>
        <v>1110.7593216433702</v>
      </c>
      <c r="G11" s="226">
        <f>F11*(1+G12)</f>
        <v>1320.2830455372034</v>
      </c>
      <c r="H11" s="226">
        <f>G11*(1+H12)</f>
        <v>1491.1255612218235</v>
      </c>
      <c r="I11" s="226">
        <f>H11*(1+I12)</f>
        <v>1701.7722286000665</v>
      </c>
      <c r="J11" s="226">
        <f>I11*(1+J12)</f>
        <v>1962.3114939405175</v>
      </c>
      <c r="K11" s="229"/>
      <c r="L11" s="229"/>
      <c r="M11" s="229"/>
      <c r="N11" s="229"/>
      <c r="O11" s="229"/>
      <c r="P11" s="229"/>
      <c r="Q11" s="229"/>
    </row>
    <row r="12" spans="1:17">
      <c r="A12" s="227" t="s">
        <v>215</v>
      </c>
      <c r="B12" s="227"/>
      <c r="C12" s="230">
        <f>C11/B11-1</f>
        <v>-5.2808471000717172E-2</v>
      </c>
      <c r="D12" s="230">
        <f>(D11-C11)/C11</f>
        <v>0.36632909170166639</v>
      </c>
      <c r="E12" s="230">
        <f>(E11-D11)/D11</f>
        <v>9.3792942744459165E-2</v>
      </c>
      <c r="F12" s="231">
        <f>CHOOSE('Costs &amp; Expenses Build'!$C$5,F13,F14,F15)</f>
        <v>0.10577118781513611</v>
      </c>
      <c r="G12" s="231">
        <f>CHOOSE('Costs &amp; Expenses Build'!$C$5,G13,G14,G15)</f>
        <v>0.18863107408708721</v>
      </c>
      <c r="H12" s="231">
        <f>CHOOSE('Costs &amp; Expenses Build'!$C$5,H13,H14,H15)</f>
        <v>0.12939840154889415</v>
      </c>
      <c r="I12" s="231">
        <f>CHOOSE('Costs &amp; Expenses Build'!$C$5,I13,I14,I15)</f>
        <v>0.14126688781703914</v>
      </c>
      <c r="J12" s="231">
        <f>CHOOSE('Costs &amp; Expenses Build'!$C$5,J13,J14,J15)</f>
        <v>0.1530987878176735</v>
      </c>
      <c r="K12" s="229"/>
      <c r="L12" s="229"/>
      <c r="M12" s="229"/>
      <c r="N12" s="229"/>
      <c r="O12" s="229"/>
      <c r="P12" s="229"/>
      <c r="Q12" s="229"/>
    </row>
    <row r="13" spans="1:17">
      <c r="A13" s="232" t="s">
        <v>18</v>
      </c>
      <c r="B13" s="232"/>
      <c r="C13" s="228"/>
      <c r="D13" s="228"/>
      <c r="E13" s="228"/>
      <c r="F13" s="226">
        <f>F14-2%</f>
        <v>8.577118781513611E-2</v>
      </c>
      <c r="G13" s="226">
        <f>G14-2%</f>
        <v>0.16863107408708722</v>
      </c>
      <c r="H13" s="226">
        <f>H14-2%</f>
        <v>0.10939840154889414</v>
      </c>
      <c r="I13" s="226">
        <f>I14-2%</f>
        <v>0.12126688781703913</v>
      </c>
      <c r="J13" s="226">
        <f>J14-2%</f>
        <v>0.13309878781767351</v>
      </c>
      <c r="K13" s="229"/>
      <c r="L13" s="229"/>
      <c r="M13" s="229"/>
      <c r="N13" s="229"/>
      <c r="O13" s="229"/>
      <c r="P13" s="229"/>
      <c r="Q13" s="229"/>
    </row>
    <row r="14" spans="1:17">
      <c r="A14" s="227" t="s">
        <v>19</v>
      </c>
      <c r="B14" s="227"/>
      <c r="C14" s="228"/>
      <c r="D14" s="228"/>
      <c r="E14" s="228"/>
      <c r="F14" s="231">
        <f>AVERAGE(C12:E12)-3%</f>
        <v>0.10577118781513611</v>
      </c>
      <c r="G14" s="228">
        <f>AVERAGE(D12,E12,F14)</f>
        <v>0.18863107408708721</v>
      </c>
      <c r="H14" s="228">
        <f>AVERAGE(E12,F14,G14)</f>
        <v>0.12939840154889415</v>
      </c>
      <c r="I14" s="233">
        <f>AVERAGE(F14:H14)</f>
        <v>0.14126688781703914</v>
      </c>
      <c r="J14" s="234">
        <f>AVERAGE(G14:I14)</f>
        <v>0.1530987878176735</v>
      </c>
      <c r="K14" s="234"/>
      <c r="L14" s="229"/>
      <c r="M14" s="229"/>
      <c r="N14" s="229"/>
      <c r="O14" s="229"/>
      <c r="P14" s="229"/>
      <c r="Q14" s="229"/>
    </row>
    <row r="15" spans="1:17">
      <c r="A15" s="227" t="s">
        <v>20</v>
      </c>
      <c r="B15" s="227"/>
      <c r="C15" s="228"/>
      <c r="D15" s="228"/>
      <c r="E15" s="228"/>
      <c r="F15" s="226">
        <f>F14+2%</f>
        <v>0.1257711878151361</v>
      </c>
      <c r="G15" s="226">
        <f>G14+2%</f>
        <v>0.2086310740870872</v>
      </c>
      <c r="H15" s="226">
        <f>H14+2%</f>
        <v>0.14939840154889414</v>
      </c>
      <c r="I15" s="226">
        <f>I14+2%</f>
        <v>0.16126688781703913</v>
      </c>
      <c r="J15" s="226">
        <f>J14+2%</f>
        <v>0.17309878781767349</v>
      </c>
      <c r="K15" s="229"/>
      <c r="L15" s="229"/>
      <c r="M15" s="229"/>
      <c r="N15" s="229"/>
      <c r="O15" s="229"/>
      <c r="P15" s="229"/>
      <c r="Q15" s="229"/>
    </row>
    <row r="16" spans="1:17">
      <c r="A16" s="227" t="s">
        <v>213</v>
      </c>
      <c r="B16" s="227">
        <v>249.58199999999999</v>
      </c>
      <c r="C16" s="228">
        <v>300.32799999999997</v>
      </c>
      <c r="D16" s="228">
        <v>306.84800000000001</v>
      </c>
      <c r="E16" s="228">
        <v>259.11500000000001</v>
      </c>
      <c r="F16" s="226">
        <f>E16*(1+F17)</f>
        <v>265.11562412207161</v>
      </c>
      <c r="G16" s="226">
        <f>F16*(1+G17)</f>
        <v>255.33362144771658</v>
      </c>
      <c r="H16" s="226">
        <f>G16*(1+H17)</f>
        <v>240.92445811753151</v>
      </c>
      <c r="I16" s="226">
        <f>H16*(1+I17)</f>
        <v>235.28910178409097</v>
      </c>
      <c r="J16" s="226">
        <f>I16*(1+J17)</f>
        <v>226.13475867849468</v>
      </c>
      <c r="K16" s="229"/>
      <c r="L16" s="229"/>
      <c r="M16" s="229"/>
      <c r="N16" s="229"/>
      <c r="O16" s="229"/>
      <c r="P16" s="229"/>
      <c r="Q16" s="229"/>
    </row>
    <row r="17" spans="1:17">
      <c r="A17" s="235" t="s">
        <v>215</v>
      </c>
      <c r="B17" s="235"/>
      <c r="C17" s="236">
        <f>(C16-B16)/B16</f>
        <v>0.20332395765720276</v>
      </c>
      <c r="D17" s="236">
        <f>(D16-C16)/C16</f>
        <v>2.170959750672611E-2</v>
      </c>
      <c r="E17" s="236">
        <f>(E16-D16)/D16</f>
        <v>-0.15555910418187507</v>
      </c>
      <c r="F17" s="237">
        <f>CHOOSE('Costs &amp; Expenses Build'!$C$5,F18,F19,F20)</f>
        <v>2.3158150327351263E-2</v>
      </c>
      <c r="G17" s="238">
        <f>CHOOSE('Costs &amp; Expenses Build'!$C$5,G18,G19,G20)</f>
        <v>-3.6897118782599235E-2</v>
      </c>
      <c r="H17" s="238">
        <f>CHOOSE('Costs &amp; Expenses Build'!$C$5,H18,H19,H20)</f>
        <v>-5.6432690879041014E-2</v>
      </c>
      <c r="I17" s="238">
        <f>CHOOSE('Costs &amp; Expenses Build'!$C$5,I18,I19,I20)</f>
        <v>-2.3390553111429662E-2</v>
      </c>
      <c r="J17" s="238">
        <f>CHOOSE('Costs &amp; Expenses Build'!$C$5,J18,J19,J20)</f>
        <v>-3.8906787591023305E-2</v>
      </c>
      <c r="K17" s="229"/>
      <c r="L17" s="229"/>
      <c r="M17" s="229"/>
      <c r="N17" s="229"/>
      <c r="O17" s="229"/>
      <c r="P17" s="229"/>
      <c r="Q17" s="229"/>
    </row>
    <row r="18" spans="1:17">
      <c r="A18" s="235" t="s">
        <v>18</v>
      </c>
      <c r="B18" s="235"/>
      <c r="C18" s="239"/>
      <c r="D18" s="239"/>
      <c r="E18" s="239"/>
      <c r="F18" s="240">
        <f>F19-0.5%</f>
        <v>1.8158150327351262E-2</v>
      </c>
      <c r="G18" s="241">
        <f>G19-0.5%</f>
        <v>-4.1897118782599233E-2</v>
      </c>
      <c r="H18" s="241">
        <f>H19-0.5%</f>
        <v>-6.1432690879041012E-2</v>
      </c>
      <c r="I18" s="242">
        <f>I19-0.5%</f>
        <v>-2.8390553111429663E-2</v>
      </c>
      <c r="J18" s="242">
        <f>J19-0.5%</f>
        <v>-4.3906787591023302E-2</v>
      </c>
      <c r="K18" s="229"/>
      <c r="L18" s="229"/>
      <c r="M18" s="229"/>
      <c r="N18" s="229"/>
      <c r="O18" s="229"/>
      <c r="P18" s="229"/>
      <c r="Q18" s="229"/>
    </row>
    <row r="19" spans="1:17">
      <c r="A19" s="235" t="s">
        <v>19</v>
      </c>
      <c r="B19" s="235"/>
      <c r="C19" s="239"/>
      <c r="D19" s="239"/>
      <c r="E19" s="239"/>
      <c r="F19" s="243">
        <f>AVERAGE(C17:E17)</f>
        <v>2.3158150327351263E-2</v>
      </c>
      <c r="G19" s="236">
        <f>AVERAGE(D17,E17,F19)</f>
        <v>-3.6897118782599235E-2</v>
      </c>
      <c r="H19" s="236">
        <f>AVERAGE(E17,F19,G19)</f>
        <v>-5.6432690879041014E-2</v>
      </c>
      <c r="I19" s="230">
        <f>AVERAGE(F17,G19,H19)</f>
        <v>-2.3390553111429662E-2</v>
      </c>
      <c r="J19" s="230">
        <f>AVERAGE(G17,H19,I19)</f>
        <v>-3.8906787591023305E-2</v>
      </c>
      <c r="K19" s="229"/>
      <c r="L19" s="229"/>
      <c r="M19" s="229"/>
      <c r="N19" s="229"/>
      <c r="O19" s="229"/>
      <c r="P19" s="229"/>
      <c r="Q19" s="229"/>
    </row>
    <row r="20" spans="1:17">
      <c r="A20" s="70" t="s">
        <v>20</v>
      </c>
      <c r="F20" s="244">
        <f>F19+0.5%</f>
        <v>2.8158150327351264E-2</v>
      </c>
      <c r="G20" s="244">
        <f>G19+0.5%</f>
        <v>-3.1897118782599237E-2</v>
      </c>
      <c r="H20" s="244">
        <f>H19+0.5%</f>
        <v>-5.1432690879041017E-2</v>
      </c>
      <c r="I20" s="242">
        <f>I19+0.5%</f>
        <v>-1.8390553111429661E-2</v>
      </c>
      <c r="J20" s="242">
        <f>J19+0.5%</f>
        <v>-3.3906787591023307E-2</v>
      </c>
    </row>
    <row r="21" spans="1:17">
      <c r="A21" s="232" t="s">
        <v>219</v>
      </c>
      <c r="B21" s="227"/>
      <c r="C21" s="228">
        <v>972.47500000000002</v>
      </c>
      <c r="D21" s="228">
        <v>1225.22</v>
      </c>
      <c r="E21" s="228">
        <v>1263.626</v>
      </c>
      <c r="F21" s="226">
        <f>F11+F16</f>
        <v>1375.8749457654417</v>
      </c>
      <c r="G21" s="226">
        <f>G11+G16</f>
        <v>1575.6166669849199</v>
      </c>
      <c r="H21" s="226">
        <f>H11+H16</f>
        <v>1732.050019339355</v>
      </c>
      <c r="I21" s="226">
        <f>I11+I16</f>
        <v>1937.0613303841574</v>
      </c>
      <c r="J21" s="226">
        <f>J11+J16</f>
        <v>2188.4462526190123</v>
      </c>
    </row>
    <row r="23" spans="1:17">
      <c r="A23" s="227" t="s">
        <v>181</v>
      </c>
      <c r="B23" s="227">
        <v>927.08900000000006</v>
      </c>
      <c r="C23" s="228">
        <v>1255.212</v>
      </c>
      <c r="D23" s="228">
        <v>1770.1849999999999</v>
      </c>
      <c r="E23" s="228">
        <v>2639.3539999999998</v>
      </c>
      <c r="F23" s="226">
        <v>2973.9290000000001</v>
      </c>
      <c r="G23" s="228">
        <v>3170.05467</v>
      </c>
      <c r="H23" s="228">
        <v>3381.7</v>
      </c>
      <c r="I23" s="229"/>
      <c r="J23" s="229"/>
      <c r="K23" s="229"/>
      <c r="L23" s="229"/>
      <c r="M23" s="229"/>
      <c r="N23" s="229"/>
      <c r="O23" s="229"/>
      <c r="P23" s="229"/>
      <c r="Q23" s="229"/>
    </row>
    <row r="24" spans="1:17">
      <c r="A24" s="227" t="s">
        <v>216</v>
      </c>
      <c r="B24" s="227">
        <v>535.21699999999998</v>
      </c>
      <c r="C24" s="228">
        <v>694.9</v>
      </c>
      <c r="D24" s="228">
        <v>1040.502</v>
      </c>
      <c r="E24" s="228">
        <v>1658.431</v>
      </c>
      <c r="F24" s="226">
        <f>E24*(1+F25)</f>
        <v>1979.9607043678918</v>
      </c>
      <c r="G24" s="226">
        <f>F24*(1+G25)</f>
        <v>2264.8292152617269</v>
      </c>
      <c r="H24" s="226">
        <f>G24*(1+H25)</f>
        <v>2545.3868383441263</v>
      </c>
      <c r="I24" s="226">
        <f>H24*(1+I25)</f>
        <v>2809.7910360837604</v>
      </c>
      <c r="J24" s="226">
        <f>I24*(1+J25)</f>
        <v>3045.4646214265249</v>
      </c>
    </row>
    <row r="25" spans="1:17">
      <c r="A25" s="245" t="s">
        <v>215</v>
      </c>
      <c r="B25" s="227"/>
      <c r="C25" s="246">
        <f>(C24-B24)/B24</f>
        <v>0.29835188344166946</v>
      </c>
      <c r="D25" s="246">
        <f t="shared" ref="D25:E25" si="0">(D24-C24)/C24</f>
        <v>0.49734062455029499</v>
      </c>
      <c r="E25" s="246">
        <f t="shared" si="0"/>
        <v>0.5938758406999699</v>
      </c>
      <c r="F25" s="226">
        <f>CHOOSE('Costs &amp; Expenses Build'!$C$5,F26,F27,F28)</f>
        <v>0.19387584069996988</v>
      </c>
      <c r="G25" s="226">
        <f>CHOOSE('Costs &amp; Expenses Build'!$C$5,G26,G27,G28)</f>
        <v>0.14387584069996989</v>
      </c>
      <c r="H25" s="226">
        <f>CHOOSE('Costs &amp; Expenses Build'!$C$5,H26,H27,H28)</f>
        <v>0.12387584069996989</v>
      </c>
      <c r="I25" s="226">
        <f>CHOOSE('Costs &amp; Expenses Build'!$C$5,I26,I27,I28)</f>
        <v>0.10387584069996988</v>
      </c>
      <c r="J25" s="226">
        <f>CHOOSE('Costs &amp; Expenses Build'!$C$5,J26,J27,J28)</f>
        <v>8.3875840699969881E-2</v>
      </c>
      <c r="K25" s="215"/>
      <c r="L25" s="215"/>
      <c r="M25" s="215"/>
      <c r="N25" s="215"/>
      <c r="O25" s="215"/>
      <c r="P25" s="215"/>
      <c r="Q25" s="215"/>
    </row>
    <row r="26" spans="1:17">
      <c r="A26" s="232" t="s">
        <v>18</v>
      </c>
      <c r="B26" s="232"/>
      <c r="C26" s="228"/>
      <c r="D26" s="228"/>
      <c r="E26" s="228"/>
      <c r="F26" s="231">
        <f>F27-3%</f>
        <v>0.16387584069996988</v>
      </c>
      <c r="G26" s="231">
        <f>G27-3%</f>
        <v>0.11387584069996989</v>
      </c>
      <c r="H26" s="231">
        <f>H27-3%</f>
        <v>9.387584069996989E-2</v>
      </c>
      <c r="I26" s="231">
        <f>I27-3%</f>
        <v>7.3875840699969886E-2</v>
      </c>
      <c r="J26" s="231">
        <f>J27-3%</f>
        <v>5.3875840699969882E-2</v>
      </c>
      <c r="K26" s="229"/>
      <c r="L26" s="229"/>
      <c r="M26" s="229"/>
      <c r="N26" s="229"/>
      <c r="O26" s="229"/>
      <c r="P26" s="229"/>
      <c r="Q26" s="229"/>
    </row>
    <row r="27" spans="1:17">
      <c r="A27" s="227" t="s">
        <v>19</v>
      </c>
      <c r="B27" s="227"/>
      <c r="C27" s="228"/>
      <c r="D27" s="228"/>
      <c r="E27" s="228"/>
      <c r="F27" s="231">
        <f>E25-40%</f>
        <v>0.19387584069996988</v>
      </c>
      <c r="G27" s="231">
        <f>F25-5%</f>
        <v>0.14387584069996989</v>
      </c>
      <c r="H27" s="231">
        <f>G25-2%</f>
        <v>0.12387584069996989</v>
      </c>
      <c r="I27" s="231">
        <f>H25-2%</f>
        <v>0.10387584069996988</v>
      </c>
      <c r="J27" s="231">
        <f>I25-2%</f>
        <v>8.3875840699969881E-2</v>
      </c>
      <c r="K27" s="215"/>
      <c r="L27" s="215"/>
      <c r="M27" s="215"/>
      <c r="N27" s="215"/>
      <c r="O27" s="215"/>
      <c r="P27" s="215"/>
      <c r="Q27" s="215"/>
    </row>
    <row r="28" spans="1:17">
      <c r="A28" s="227" t="s">
        <v>20</v>
      </c>
      <c r="B28" s="227"/>
      <c r="C28" s="228"/>
      <c r="D28" s="228"/>
      <c r="E28" s="228"/>
      <c r="F28" s="231">
        <f>F27+3%</f>
        <v>0.22387584069996988</v>
      </c>
      <c r="G28" s="231">
        <f>G27+3%</f>
        <v>0.17387584069996989</v>
      </c>
      <c r="H28" s="231">
        <f>H27+3%</f>
        <v>0.1538758406999699</v>
      </c>
      <c r="I28" s="231">
        <f>I27+3%</f>
        <v>0.13387584069996988</v>
      </c>
      <c r="J28" s="231">
        <f>J27+3%</f>
        <v>0.11387584069996988</v>
      </c>
      <c r="K28" s="215"/>
      <c r="L28" s="215"/>
      <c r="M28" s="215"/>
      <c r="N28" s="215"/>
      <c r="O28" s="215"/>
      <c r="P28" s="215"/>
      <c r="Q28" s="215"/>
    </row>
    <row r="29" spans="1:17">
      <c r="A29" s="227" t="s">
        <v>217</v>
      </c>
      <c r="B29" s="227">
        <v>208.215</v>
      </c>
      <c r="C29" s="228">
        <v>264.98599999999999</v>
      </c>
      <c r="D29" s="228">
        <v>366.56599999999997</v>
      </c>
      <c r="E29" s="228">
        <v>593.23699999999997</v>
      </c>
      <c r="F29" s="226">
        <f>E29*(1+F30)</f>
        <v>787.81774977740747</v>
      </c>
      <c r="G29" s="226">
        <f>F29*(1+G30)</f>
        <v>1061.977016997982</v>
      </c>
      <c r="H29" s="226">
        <f>G29*(1+H30)</f>
        <v>1452.7827937771701</v>
      </c>
      <c r="I29" s="226">
        <f>H29*(1+I30)</f>
        <v>2016.4601025943844</v>
      </c>
      <c r="J29" s="226">
        <f>I29*(1+J30)</f>
        <v>2839.1724722032695</v>
      </c>
      <c r="K29" s="215"/>
      <c r="L29" s="215"/>
      <c r="M29" s="215"/>
      <c r="N29" s="215"/>
      <c r="O29" s="215"/>
      <c r="P29" s="215"/>
      <c r="Q29" s="215"/>
    </row>
    <row r="30" spans="1:17">
      <c r="A30" s="245" t="s">
        <v>215</v>
      </c>
      <c r="B30" s="245"/>
      <c r="C30" s="246">
        <f>(C29-B29)/B29</f>
        <v>0.27265566841966232</v>
      </c>
      <c r="D30" s="246">
        <f t="shared" ref="D30" si="1">(D29-C29)/C29</f>
        <v>0.38334100669469323</v>
      </c>
      <c r="E30" s="246">
        <f t="shared" ref="E30" si="2">(E29-D29)/D29</f>
        <v>0.61836340522579836</v>
      </c>
      <c r="F30" s="226">
        <f>CHOOSE('Costs &amp; Expenses Build'!$C$5,F31,F32,F33)</f>
        <v>0.32799833755717778</v>
      </c>
      <c r="G30" s="226">
        <f>CHOOSE('Costs &amp; Expenses Build'!$C$5,G31,G32,G33)</f>
        <v>0.34799833755717779</v>
      </c>
      <c r="H30" s="226">
        <f>CHOOSE('Costs &amp; Expenses Build'!$C$5,H31,H32,H33)</f>
        <v>0.36799833755717781</v>
      </c>
      <c r="I30" s="226">
        <f>CHOOSE('Costs &amp; Expenses Build'!$C$5,I31,I32,I33)</f>
        <v>0.38799833755717783</v>
      </c>
      <c r="J30" s="226">
        <f>CHOOSE('Costs &amp; Expenses Build'!$C$5,J31,J32,J33)</f>
        <v>0.40799833755717785</v>
      </c>
      <c r="K30" s="229"/>
      <c r="L30" s="229"/>
      <c r="M30" s="229"/>
      <c r="N30" s="229"/>
      <c r="O30" s="229"/>
      <c r="P30" s="229"/>
      <c r="Q30" s="229"/>
    </row>
    <row r="31" spans="1:17">
      <c r="A31" s="232" t="s">
        <v>18</v>
      </c>
      <c r="B31" s="232"/>
      <c r="C31" s="228"/>
      <c r="D31" s="228"/>
      <c r="E31" s="228"/>
      <c r="F31" s="231">
        <f>F32-3%</f>
        <v>0.29799833755717775</v>
      </c>
      <c r="G31" s="231">
        <f>G32-3%</f>
        <v>0.31799833755717777</v>
      </c>
      <c r="H31" s="231">
        <f>H32-3%</f>
        <v>0.33799833755717779</v>
      </c>
      <c r="I31" s="231">
        <f>I32-3%</f>
        <v>0.3579983375571778</v>
      </c>
      <c r="J31" s="231">
        <f>J32-3%</f>
        <v>0.37799833755717782</v>
      </c>
      <c r="K31" s="215"/>
      <c r="L31" s="215"/>
      <c r="M31" s="215"/>
      <c r="N31" s="215"/>
      <c r="O31" s="215"/>
      <c r="P31" s="215"/>
      <c r="Q31" s="215"/>
    </row>
    <row r="32" spans="1:17">
      <c r="A32" s="227" t="s">
        <v>19</v>
      </c>
      <c r="B32" s="227"/>
      <c r="C32" s="228"/>
      <c r="D32" s="228"/>
      <c r="E32" s="228"/>
      <c r="F32" s="231">
        <f>AVERAGE(C30,D30)</f>
        <v>0.32799833755717778</v>
      </c>
      <c r="G32" s="228">
        <f>F32+2%</f>
        <v>0.34799833755717779</v>
      </c>
      <c r="H32" s="228">
        <f>G32+2%</f>
        <v>0.36799833755717781</v>
      </c>
      <c r="I32" s="228">
        <f>H32+2%</f>
        <v>0.38799833755717783</v>
      </c>
      <c r="J32" s="228">
        <f>I32+2%</f>
        <v>0.40799833755717785</v>
      </c>
      <c r="K32" s="215"/>
      <c r="L32" s="215"/>
      <c r="M32" s="215"/>
      <c r="N32" s="215"/>
      <c r="O32" s="215"/>
      <c r="P32" s="215"/>
      <c r="Q32" s="215"/>
    </row>
    <row r="33" spans="1:17">
      <c r="A33" s="227" t="s">
        <v>20</v>
      </c>
      <c r="B33" s="227"/>
      <c r="C33" s="228"/>
      <c r="D33" s="228"/>
      <c r="E33" s="228"/>
      <c r="F33" s="231">
        <f>F32+3%</f>
        <v>0.3579983375571778</v>
      </c>
      <c r="G33" s="231">
        <f>G32+3%</f>
        <v>0.37799833755717782</v>
      </c>
      <c r="H33" s="231">
        <f>H32+3%</f>
        <v>0.39799833755717784</v>
      </c>
      <c r="I33" s="231">
        <f>I32+3%</f>
        <v>0.41799833755717786</v>
      </c>
      <c r="J33" s="231">
        <f>J32+3%</f>
        <v>0.43799833755717787</v>
      </c>
      <c r="K33" s="215"/>
      <c r="L33" s="215"/>
      <c r="M33" s="215"/>
      <c r="N33" s="215"/>
      <c r="O33" s="215"/>
      <c r="P33" s="215"/>
      <c r="Q33" s="215"/>
    </row>
    <row r="34" spans="1:17">
      <c r="A34" s="227" t="s">
        <v>222</v>
      </c>
      <c r="B34" s="227">
        <v>183.56700000000001</v>
      </c>
      <c r="C34" s="228">
        <v>295.32600000000002</v>
      </c>
      <c r="D34" s="228">
        <v>363.11700000000002</v>
      </c>
      <c r="E34" s="228">
        <v>387.68599999999998</v>
      </c>
      <c r="F34" s="226">
        <f>E34*(1+F35)</f>
        <v>426.45460000000003</v>
      </c>
      <c r="G34" s="228">
        <f>F34*(1+G35)</f>
        <v>477.62915200000009</v>
      </c>
      <c r="H34" s="228">
        <f>G34*(1+H35)</f>
        <v>544.49723328000016</v>
      </c>
      <c r="I34" s="228">
        <f>H34*(1+I35)</f>
        <v>631.61679060480014</v>
      </c>
      <c r="J34" s="228">
        <f>I34*(1+J35)</f>
        <v>745.30781291366418</v>
      </c>
      <c r="K34" s="215"/>
      <c r="L34" s="215"/>
      <c r="M34" s="215"/>
      <c r="N34" s="215"/>
      <c r="O34" s="215"/>
      <c r="P34" s="215"/>
      <c r="Q34" s="215"/>
    </row>
    <row r="35" spans="1:17">
      <c r="A35" s="245" t="s">
        <v>215</v>
      </c>
      <c r="B35" s="245"/>
      <c r="C35" s="246">
        <f>(C34-B34)/B34</f>
        <v>0.60881857850267207</v>
      </c>
      <c r="D35" s="246">
        <f t="shared" ref="D35" si="3">(D34-C34)/C34</f>
        <v>0.22954633185022649</v>
      </c>
      <c r="E35" s="246">
        <f t="shared" ref="E35" si="4">(E34-D34)/D34</f>
        <v>6.7661387376520402E-2</v>
      </c>
      <c r="F35" s="247">
        <f>CHOOSE('Costs &amp; Expenses Build'!$C$5,F36,F37,F38)</f>
        <v>0.1</v>
      </c>
      <c r="G35" s="247">
        <f>CHOOSE('Costs &amp; Expenses Build'!$C$5,G36,G37,G38)</f>
        <v>0.12000000000000001</v>
      </c>
      <c r="H35" s="247">
        <f>CHOOSE('Costs &amp; Expenses Build'!$C$5,H36,H37,H38)</f>
        <v>0.14000000000000001</v>
      </c>
      <c r="I35" s="247">
        <f>CHOOSE('Costs &amp; Expenses Build'!$C$5,I36,I37,I38)</f>
        <v>0.16</v>
      </c>
      <c r="J35" s="247">
        <f>CHOOSE('Costs &amp; Expenses Build'!$C$5,J36,J37,J38)</f>
        <v>0.18</v>
      </c>
      <c r="K35" s="215"/>
      <c r="L35" s="215"/>
      <c r="M35" s="215"/>
      <c r="N35" s="215"/>
      <c r="O35" s="215"/>
      <c r="P35" s="215"/>
      <c r="Q35" s="215"/>
    </row>
    <row r="36" spans="1:17">
      <c r="A36" s="232" t="s">
        <v>18</v>
      </c>
      <c r="B36" s="232"/>
      <c r="C36" s="228"/>
      <c r="D36" s="228"/>
      <c r="E36" s="228"/>
      <c r="F36" s="226">
        <f>F37-2%</f>
        <v>0.08</v>
      </c>
      <c r="G36" s="228">
        <f>G37-2%</f>
        <v>0.1</v>
      </c>
      <c r="H36" s="228">
        <f>H37-2%</f>
        <v>0.12000000000000001</v>
      </c>
      <c r="I36" s="228">
        <f>I37-2%</f>
        <v>0.14000000000000001</v>
      </c>
      <c r="J36" s="228">
        <f>J37-2%</f>
        <v>0.16</v>
      </c>
      <c r="K36" s="215"/>
      <c r="L36" s="215"/>
      <c r="M36" s="215"/>
      <c r="N36" s="215"/>
      <c r="O36" s="215"/>
      <c r="P36" s="215"/>
      <c r="Q36" s="215"/>
    </row>
    <row r="37" spans="1:17">
      <c r="A37" s="227" t="s">
        <v>19</v>
      </c>
      <c r="B37" s="227"/>
      <c r="C37" s="228"/>
      <c r="D37" s="228"/>
      <c r="E37" s="228"/>
      <c r="F37" s="231">
        <v>0.1</v>
      </c>
      <c r="G37" s="242">
        <f>F37+2%</f>
        <v>0.12000000000000001</v>
      </c>
      <c r="H37" s="242">
        <f>G37+2%</f>
        <v>0.14000000000000001</v>
      </c>
      <c r="I37" s="242">
        <f>H37+2%</f>
        <v>0.16</v>
      </c>
      <c r="J37" s="242">
        <f>I37+2%</f>
        <v>0.18</v>
      </c>
      <c r="K37" s="215"/>
      <c r="L37" s="215"/>
      <c r="M37" s="215"/>
      <c r="N37" s="215"/>
      <c r="O37" s="215"/>
      <c r="P37" s="215"/>
      <c r="Q37" s="215"/>
    </row>
    <row r="38" spans="1:17">
      <c r="A38" s="227" t="s">
        <v>20</v>
      </c>
      <c r="B38" s="227"/>
      <c r="C38" s="228"/>
      <c r="D38" s="228"/>
      <c r="E38" s="228"/>
      <c r="F38" s="226">
        <f>F37+2%</f>
        <v>0.12000000000000001</v>
      </c>
      <c r="G38" s="228">
        <f>G37+2%</f>
        <v>0.14000000000000001</v>
      </c>
      <c r="H38" s="228">
        <f>H37+2%</f>
        <v>0.16</v>
      </c>
      <c r="I38" s="228">
        <f>I37+2%</f>
        <v>0.18</v>
      </c>
      <c r="J38" s="228">
        <f>J37+2%</f>
        <v>0.19999999999999998</v>
      </c>
      <c r="K38" s="229"/>
      <c r="L38" s="229"/>
      <c r="M38" s="229"/>
      <c r="N38" s="229"/>
      <c r="O38" s="229"/>
      <c r="P38" s="229"/>
      <c r="Q38" s="229"/>
    </row>
    <row r="39" spans="1:17">
      <c r="A39" s="227" t="s">
        <v>221</v>
      </c>
      <c r="B39" s="227">
        <v>927.08900000000006</v>
      </c>
      <c r="C39" s="228">
        <v>1255.212</v>
      </c>
      <c r="D39" s="228">
        <v>1770.1849999999999</v>
      </c>
      <c r="E39" s="228">
        <v>2639.3539999999998</v>
      </c>
      <c r="F39" s="226">
        <f>F34+F29+F24</f>
        <v>3194.2330541452993</v>
      </c>
      <c r="G39" s="226">
        <f>G34+G29+G24</f>
        <v>3804.4353842597088</v>
      </c>
      <c r="H39" s="226">
        <f>H34+H29+H24</f>
        <v>4542.6668654012965</v>
      </c>
      <c r="I39" s="226">
        <f>I34+I29+I24</f>
        <v>5457.8679292829447</v>
      </c>
      <c r="J39" s="226">
        <f>J34+J29+J24</f>
        <v>6629.9449065434583</v>
      </c>
      <c r="K39" s="229"/>
      <c r="L39" s="229"/>
      <c r="M39" s="229"/>
      <c r="N39" s="229"/>
      <c r="O39" s="229"/>
      <c r="P39" s="229"/>
      <c r="Q39" s="229"/>
    </row>
    <row r="40" spans="1:17">
      <c r="A40" s="227" t="s">
        <v>220</v>
      </c>
      <c r="B40" s="227"/>
      <c r="C40" s="228"/>
      <c r="D40" s="228"/>
      <c r="E40" s="228"/>
      <c r="F40" s="226"/>
      <c r="G40" s="228"/>
      <c r="H40" s="228"/>
      <c r="I40" s="215"/>
      <c r="J40" s="215"/>
      <c r="K40" s="215"/>
      <c r="L40" s="215"/>
      <c r="M40" s="215"/>
      <c r="N40" s="215"/>
      <c r="O40" s="215"/>
      <c r="P40" s="215"/>
      <c r="Q40" s="215"/>
    </row>
    <row r="41" spans="1:17">
      <c r="A41" s="419"/>
      <c r="B41" s="419"/>
      <c r="C41" s="420"/>
      <c r="D41" s="420"/>
      <c r="E41" s="420"/>
      <c r="F41" s="421"/>
      <c r="G41" s="420"/>
      <c r="H41" s="420"/>
      <c r="I41" s="215"/>
      <c r="J41" s="215"/>
      <c r="K41" s="215"/>
      <c r="L41" s="215"/>
      <c r="M41" s="215"/>
      <c r="N41" s="215"/>
      <c r="O41" s="215"/>
      <c r="P41" s="215"/>
      <c r="Q41" s="215"/>
    </row>
    <row r="42" spans="1:17">
      <c r="A42" s="224" t="s">
        <v>183</v>
      </c>
      <c r="B42" s="224"/>
      <c r="C42" s="225">
        <v>1345.5630000000001</v>
      </c>
      <c r="D42" s="225">
        <v>1814.617</v>
      </c>
      <c r="E42" s="225">
        <v>2355.9430000000002</v>
      </c>
      <c r="F42" s="226">
        <v>2573.38913</v>
      </c>
      <c r="G42" s="225">
        <v>2740.0171300000002</v>
      </c>
      <c r="H42" s="225">
        <v>2795.71333</v>
      </c>
      <c r="I42" s="248">
        <f>'Costs &amp; Expenses Build'!I23</f>
        <v>4436.9575558002607</v>
      </c>
      <c r="J42" s="215"/>
      <c r="K42" s="215"/>
      <c r="L42" s="215"/>
      <c r="M42" s="215"/>
      <c r="N42" s="215"/>
      <c r="O42" s="215"/>
      <c r="P42" s="215"/>
      <c r="Q42" s="215"/>
    </row>
    <row r="43" spans="1:17">
      <c r="A43" s="224" t="s">
        <v>184</v>
      </c>
      <c r="B43" s="224"/>
      <c r="C43" s="225">
        <f t="shared" ref="C43:H43" si="5">C9-C42</f>
        <v>862.75900000000001</v>
      </c>
      <c r="D43" s="225">
        <f t="shared" si="5"/>
        <v>1153.4880000000001</v>
      </c>
      <c r="E43" s="225">
        <f t="shared" si="5"/>
        <v>1501.7259999999997</v>
      </c>
      <c r="F43" s="225">
        <f t="shared" si="5"/>
        <v>1724.3190300000001</v>
      </c>
      <c r="G43" s="225">
        <f t="shared" si="5"/>
        <v>1870.7053699999997</v>
      </c>
      <c r="H43" s="225">
        <f t="shared" si="5"/>
        <v>2126.2324700000004</v>
      </c>
      <c r="I43" s="215"/>
      <c r="J43" s="215"/>
      <c r="K43" s="215"/>
      <c r="L43" s="215"/>
      <c r="M43" s="215"/>
      <c r="N43" s="215"/>
      <c r="O43" s="215"/>
      <c r="P43" s="215"/>
      <c r="Q43" s="215"/>
    </row>
    <row r="44" spans="1:17">
      <c r="A44" s="224" t="s">
        <v>185</v>
      </c>
      <c r="B44" s="224"/>
      <c r="C44" s="249">
        <v>0.39069999999999999</v>
      </c>
      <c r="D44" s="249">
        <v>0.3886</v>
      </c>
      <c r="E44" s="249">
        <v>0.38919999999999999</v>
      </c>
      <c r="F44" s="250">
        <v>0.39585560000000003</v>
      </c>
      <c r="G44" s="249">
        <v>0.40078750000000002</v>
      </c>
      <c r="H44" s="249">
        <v>0.4126667</v>
      </c>
      <c r="I44" s="215"/>
      <c r="J44" s="215"/>
      <c r="K44" s="215"/>
      <c r="L44" s="215"/>
      <c r="M44" s="215"/>
      <c r="N44" s="215"/>
      <c r="O44" s="215"/>
      <c r="P44" s="215"/>
      <c r="Q44" s="215"/>
    </row>
    <row r="45" spans="1:17">
      <c r="A45" s="415" t="s">
        <v>170</v>
      </c>
      <c r="B45" s="415"/>
      <c r="C45" s="415"/>
      <c r="D45" s="415"/>
      <c r="E45" s="415"/>
      <c r="F45" s="415"/>
      <c r="G45" s="415"/>
      <c r="H45" s="415"/>
    </row>
    <row r="46" spans="1:17">
      <c r="A46" s="224" t="s">
        <v>186</v>
      </c>
      <c r="B46" s="224"/>
      <c r="C46" s="225">
        <v>76.061000000000007</v>
      </c>
      <c r="D46" s="225">
        <v>95.772999999999996</v>
      </c>
      <c r="E46" s="225">
        <v>111.265</v>
      </c>
      <c r="F46" s="226">
        <v>71.55</v>
      </c>
      <c r="G46" s="225">
        <v>74.849999999999994</v>
      </c>
      <c r="H46" s="225">
        <v>78.2</v>
      </c>
    </row>
    <row r="47" spans="1:17">
      <c r="A47" s="224" t="s">
        <v>188</v>
      </c>
      <c r="B47" s="224"/>
      <c r="C47" s="225">
        <v>12.646000000000001</v>
      </c>
      <c r="D47" s="225">
        <v>15.475</v>
      </c>
      <c r="E47" s="225">
        <v>18.774999999999999</v>
      </c>
      <c r="F47" s="226">
        <v>16.194330000000001</v>
      </c>
      <c r="G47" s="225">
        <v>16.206</v>
      </c>
      <c r="H47" s="225">
        <v>21.9</v>
      </c>
    </row>
    <row r="48" spans="1:17">
      <c r="A48" s="224" t="s">
        <v>189</v>
      </c>
      <c r="B48" s="224"/>
      <c r="C48" s="225">
        <v>365.91500000000002</v>
      </c>
      <c r="D48" s="225">
        <v>528.149</v>
      </c>
      <c r="E48" s="225">
        <v>677.27099999999996</v>
      </c>
      <c r="F48" s="226">
        <v>754.60067000000004</v>
      </c>
      <c r="G48" s="225">
        <v>795.23132999999996</v>
      </c>
      <c r="H48" s="225">
        <v>853.4</v>
      </c>
    </row>
    <row r="49" spans="1:8">
      <c r="A49" s="224" t="s">
        <v>190</v>
      </c>
      <c r="B49" s="224"/>
      <c r="C49" s="225">
        <v>1711.4780000000001</v>
      </c>
      <c r="D49" s="225">
        <v>2342.7660000000001</v>
      </c>
      <c r="E49" s="225">
        <v>3033.2139999999999</v>
      </c>
      <c r="F49" s="226">
        <v>3335.7750000000001</v>
      </c>
      <c r="G49" s="225">
        <v>3559.76667</v>
      </c>
      <c r="H49" s="225">
        <v>3674</v>
      </c>
    </row>
    <row r="50" spans="1:8">
      <c r="A50" s="415" t="s">
        <v>170</v>
      </c>
      <c r="B50" s="415"/>
      <c r="C50" s="415"/>
      <c r="D50" s="415"/>
      <c r="E50" s="415"/>
      <c r="F50" s="415"/>
      <c r="G50" s="415"/>
      <c r="H50" s="415"/>
    </row>
    <row r="51" spans="1:8">
      <c r="A51" s="224" t="s">
        <v>191</v>
      </c>
      <c r="B51" s="224"/>
      <c r="C51" s="225">
        <v>593.74199999999996</v>
      </c>
      <c r="D51" s="225">
        <v>758.31</v>
      </c>
      <c r="E51" s="225">
        <v>1002.23</v>
      </c>
      <c r="F51" s="226">
        <v>1144.85617</v>
      </c>
      <c r="G51" s="225">
        <v>1239.5154399999999</v>
      </c>
      <c r="H51" s="225">
        <v>1337.6599000000001</v>
      </c>
    </row>
    <row r="52" spans="1:8">
      <c r="A52" s="224" t="s">
        <v>192</v>
      </c>
      <c r="B52" s="224"/>
      <c r="C52" s="249" t="s">
        <v>187</v>
      </c>
      <c r="D52" s="249" t="s">
        <v>187</v>
      </c>
      <c r="E52" s="249" t="s">
        <v>187</v>
      </c>
      <c r="F52" s="250">
        <v>0.26509090000000002</v>
      </c>
      <c r="G52" s="249">
        <v>0.26755459999999998</v>
      </c>
      <c r="H52" s="249">
        <v>0.27060000000000001</v>
      </c>
    </row>
    <row r="53" spans="1:8">
      <c r="A53" s="224" t="s">
        <v>193</v>
      </c>
      <c r="B53" s="224"/>
      <c r="C53" s="225" t="s">
        <v>187</v>
      </c>
      <c r="D53" s="225">
        <v>5.4589999999999996</v>
      </c>
      <c r="E53" s="225">
        <v>7.15</v>
      </c>
      <c r="F53" s="226">
        <v>8.27</v>
      </c>
      <c r="G53" s="225">
        <v>9.0299999999999994</v>
      </c>
      <c r="H53" s="225">
        <v>9.84</v>
      </c>
    </row>
    <row r="54" spans="1:8">
      <c r="A54" s="224" t="s">
        <v>194</v>
      </c>
      <c r="B54" s="224"/>
      <c r="C54" s="225">
        <v>96.332999999999998</v>
      </c>
      <c r="D54" s="225">
        <v>130.04300000000001</v>
      </c>
      <c r="E54" s="225">
        <v>175.33099999999999</v>
      </c>
      <c r="F54" s="226">
        <v>182.3355</v>
      </c>
      <c r="G54" s="225">
        <v>186.06399999999999</v>
      </c>
      <c r="H54" s="225">
        <v>191.33799999999999</v>
      </c>
    </row>
    <row r="55" spans="1:8">
      <c r="A55" s="224" t="s">
        <v>195</v>
      </c>
      <c r="B55" s="224"/>
      <c r="C55" s="225">
        <v>28.716999999999999</v>
      </c>
      <c r="D55" s="225">
        <v>40.277999999999999</v>
      </c>
      <c r="E55" s="225">
        <v>49.128</v>
      </c>
      <c r="F55" s="226">
        <v>66</v>
      </c>
      <c r="G55" s="225">
        <v>69</v>
      </c>
      <c r="H55" s="225">
        <v>73</v>
      </c>
    </row>
    <row r="56" spans="1:8">
      <c r="A56" s="224" t="s">
        <v>196</v>
      </c>
      <c r="B56" s="224"/>
      <c r="C56" s="225">
        <v>66.075999999999993</v>
      </c>
      <c r="D56" s="225">
        <v>89.765000000000001</v>
      </c>
      <c r="E56" s="225">
        <v>126.203</v>
      </c>
      <c r="F56" s="226">
        <v>64.5</v>
      </c>
      <c r="G56" s="225">
        <v>69</v>
      </c>
      <c r="H56" s="225">
        <v>148</v>
      </c>
    </row>
    <row r="57" spans="1:8">
      <c r="A57" s="415" t="s">
        <v>170</v>
      </c>
      <c r="B57" s="415"/>
      <c r="C57" s="415"/>
      <c r="D57" s="415"/>
      <c r="E57" s="415"/>
      <c r="F57" s="415"/>
      <c r="G57" s="415"/>
      <c r="H57" s="415"/>
    </row>
    <row r="58" spans="1:8">
      <c r="A58" s="224" t="s">
        <v>197</v>
      </c>
      <c r="B58" s="224"/>
      <c r="C58" s="225">
        <v>496.84399999999999</v>
      </c>
      <c r="D58" s="225">
        <v>625.33900000000006</v>
      </c>
      <c r="E58" s="225">
        <v>824.45500000000004</v>
      </c>
      <c r="F58" s="226">
        <v>955.43956000000003</v>
      </c>
      <c r="G58" s="225">
        <v>1046.3230000000001</v>
      </c>
      <c r="H58" s="225">
        <v>1145.4956400000001</v>
      </c>
    </row>
    <row r="59" spans="1:8">
      <c r="A59" s="227" t="s">
        <v>180</v>
      </c>
      <c r="B59" s="227"/>
      <c r="C59" s="228">
        <v>269.47300000000001</v>
      </c>
      <c r="D59" s="228">
        <v>285.053</v>
      </c>
      <c r="E59" s="228">
        <v>288.19299999999998</v>
      </c>
      <c r="F59" s="226">
        <v>322.97582999999997</v>
      </c>
      <c r="G59" s="228">
        <v>351.05032999999997</v>
      </c>
      <c r="H59" s="228">
        <v>380</v>
      </c>
    </row>
    <row r="60" spans="1:8">
      <c r="A60" s="227" t="s">
        <v>181</v>
      </c>
      <c r="B60" s="227"/>
      <c r="C60" s="228">
        <v>267.16699999999997</v>
      </c>
      <c r="D60" s="228">
        <v>387.29700000000003</v>
      </c>
      <c r="E60" s="228">
        <v>593.07399999999996</v>
      </c>
      <c r="F60" s="226">
        <v>690.21100000000001</v>
      </c>
      <c r="G60" s="228">
        <v>746.69682999999998</v>
      </c>
      <c r="H60" s="228">
        <v>808.13333</v>
      </c>
    </row>
    <row r="61" spans="1:8">
      <c r="A61" s="227" t="s">
        <v>182</v>
      </c>
      <c r="B61" s="227"/>
      <c r="C61" s="228">
        <v>-39.795999999999999</v>
      </c>
      <c r="D61" s="228">
        <v>-47.011000000000003</v>
      </c>
      <c r="E61" s="228">
        <v>-56.811999999999998</v>
      </c>
      <c r="F61" s="226">
        <v>-60.477829999999997</v>
      </c>
      <c r="G61" s="228">
        <v>-60.966670000000001</v>
      </c>
      <c r="H61" s="228">
        <v>-71.966669999999993</v>
      </c>
    </row>
    <row r="62" spans="1:8">
      <c r="A62" s="415" t="s">
        <v>170</v>
      </c>
      <c r="B62" s="415"/>
      <c r="C62" s="415"/>
      <c r="D62" s="415"/>
      <c r="E62" s="415"/>
      <c r="F62" s="415"/>
      <c r="G62" s="415"/>
      <c r="H62" s="415"/>
    </row>
    <row r="63" spans="1:8">
      <c r="A63" s="224" t="s">
        <v>198</v>
      </c>
      <c r="B63" s="224"/>
      <c r="C63" s="249" t="s">
        <v>187</v>
      </c>
      <c r="D63" s="249" t="s">
        <v>187</v>
      </c>
      <c r="E63" s="249" t="s">
        <v>187</v>
      </c>
      <c r="F63" s="250">
        <v>0.22466999999999998</v>
      </c>
      <c r="G63" s="249">
        <v>0.22687779999999999</v>
      </c>
      <c r="H63" s="249">
        <v>0.2316</v>
      </c>
    </row>
    <row r="64" spans="1:8">
      <c r="A64" s="224" t="s">
        <v>199</v>
      </c>
      <c r="B64" s="224"/>
      <c r="C64" s="225">
        <v>5.8079999999999998</v>
      </c>
      <c r="D64" s="225">
        <v>71.772999999999996</v>
      </c>
      <c r="E64" s="225">
        <v>149.31299999999999</v>
      </c>
      <c r="F64" s="226">
        <v>124.11436</v>
      </c>
      <c r="G64" s="225">
        <v>108.22727</v>
      </c>
      <c r="H64" s="225">
        <v>80</v>
      </c>
    </row>
    <row r="65" spans="1:8">
      <c r="A65" s="224" t="s">
        <v>200</v>
      </c>
      <c r="B65" s="224"/>
      <c r="C65" s="225" t="s">
        <v>187</v>
      </c>
      <c r="D65" s="225" t="s">
        <v>187</v>
      </c>
      <c r="E65" s="225" t="s">
        <v>187</v>
      </c>
      <c r="F65" s="226">
        <v>-19.433330000000002</v>
      </c>
      <c r="G65" s="225">
        <v>-19.66667</v>
      </c>
      <c r="H65" s="225">
        <v>0</v>
      </c>
    </row>
    <row r="66" spans="1:8">
      <c r="A66" s="415" t="s">
        <v>170</v>
      </c>
      <c r="B66" s="415"/>
      <c r="C66" s="415"/>
      <c r="D66" s="415"/>
      <c r="E66" s="415"/>
      <c r="F66" s="415"/>
      <c r="G66" s="415"/>
      <c r="H66" s="415"/>
    </row>
    <row r="67" spans="1:8">
      <c r="A67" s="224" t="s">
        <v>201</v>
      </c>
      <c r="B67" s="224"/>
      <c r="C67" s="225">
        <v>491.02300000000002</v>
      </c>
      <c r="D67" s="225">
        <v>555.28300000000002</v>
      </c>
      <c r="E67" s="225">
        <v>677.58600000000001</v>
      </c>
      <c r="F67" s="226">
        <v>830.60113000000001</v>
      </c>
      <c r="G67" s="225">
        <v>939.27367000000004</v>
      </c>
      <c r="H67" s="225">
        <v>1060.0267100000001</v>
      </c>
    </row>
    <row r="68" spans="1:8">
      <c r="A68" s="224" t="s">
        <v>202</v>
      </c>
      <c r="B68" s="224"/>
      <c r="C68" s="225">
        <v>100.4</v>
      </c>
      <c r="D68" s="225">
        <v>110.9</v>
      </c>
      <c r="E68" s="225">
        <v>118.5</v>
      </c>
      <c r="F68" s="226">
        <v>148.47264000000001</v>
      </c>
      <c r="G68" s="225">
        <v>181.20337000000001</v>
      </c>
      <c r="H68" s="225">
        <v>199.82499999999999</v>
      </c>
    </row>
    <row r="69" spans="1:8">
      <c r="A69" s="224" t="s">
        <v>203</v>
      </c>
      <c r="B69" s="224"/>
      <c r="C69" s="249">
        <v>0.20447109999999999</v>
      </c>
      <c r="D69" s="249">
        <v>0.19971800000000001</v>
      </c>
      <c r="E69" s="249">
        <v>0.17480000000000001</v>
      </c>
      <c r="F69" s="250">
        <v>0.18230000000000002</v>
      </c>
      <c r="G69" s="249">
        <v>0.19719999999999999</v>
      </c>
      <c r="H69" s="249">
        <v>0.19600000000000001</v>
      </c>
    </row>
    <row r="70" spans="1:8">
      <c r="A70" s="415" t="s">
        <v>170</v>
      </c>
      <c r="B70" s="415"/>
      <c r="C70" s="415"/>
      <c r="D70" s="415"/>
      <c r="E70" s="415"/>
      <c r="F70" s="415"/>
      <c r="G70" s="415"/>
      <c r="H70" s="415"/>
    </row>
    <row r="71" spans="1:8">
      <c r="A71" s="224" t="s">
        <v>204</v>
      </c>
      <c r="B71" s="224"/>
      <c r="C71" s="225">
        <v>351.67500000000001</v>
      </c>
      <c r="D71" s="225">
        <v>403.596</v>
      </c>
      <c r="E71" s="225">
        <v>514.10900000000004</v>
      </c>
      <c r="F71" s="226">
        <v>627.84393999999998</v>
      </c>
      <c r="G71" s="225">
        <v>701.29746999999998</v>
      </c>
      <c r="H71" s="225">
        <v>792.65178000000003</v>
      </c>
    </row>
    <row r="72" spans="1:8">
      <c r="A72" s="224" t="s">
        <v>205</v>
      </c>
      <c r="B72" s="224"/>
      <c r="C72" s="249" t="s">
        <v>187</v>
      </c>
      <c r="D72" s="249" t="s">
        <v>187</v>
      </c>
      <c r="E72" s="249" t="s">
        <v>187</v>
      </c>
      <c r="F72" s="250">
        <v>0.14990000000000001</v>
      </c>
      <c r="G72" s="249">
        <v>0.15423329999999999</v>
      </c>
      <c r="H72" s="249">
        <v>0.16203330000000002</v>
      </c>
    </row>
    <row r="73" spans="1:8">
      <c r="A73" s="415" t="s">
        <v>170</v>
      </c>
      <c r="B73" s="415"/>
      <c r="C73" s="415"/>
      <c r="D73" s="415"/>
      <c r="E73" s="415"/>
      <c r="F73" s="415"/>
      <c r="G73" s="415"/>
      <c r="H73" s="415"/>
    </row>
    <row r="74" spans="1:8">
      <c r="A74" s="224" t="s">
        <v>206</v>
      </c>
      <c r="B74" s="224"/>
      <c r="C74" s="225">
        <v>2.5499999999999998</v>
      </c>
      <c r="D74" s="225">
        <v>2.91</v>
      </c>
      <c r="E74" s="225">
        <v>3.67</v>
      </c>
      <c r="F74" s="226">
        <v>4.4470499999999999</v>
      </c>
      <c r="G74" s="225">
        <v>4.9684400000000002</v>
      </c>
      <c r="H74" s="225">
        <v>5.64222</v>
      </c>
    </row>
    <row r="75" spans="1:8">
      <c r="A75" s="224" t="s">
        <v>207</v>
      </c>
      <c r="B75" s="224"/>
      <c r="C75" s="225">
        <v>593.17700000000002</v>
      </c>
      <c r="D75" s="225">
        <v>755.38199999999995</v>
      </c>
      <c r="E75" s="225">
        <v>999.78599999999994</v>
      </c>
      <c r="F75" s="226">
        <v>1136.6666700000001</v>
      </c>
      <c r="G75" s="225">
        <v>1238.71667</v>
      </c>
      <c r="H75" s="225">
        <v>1363.6666700000001</v>
      </c>
    </row>
    <row r="76" spans="1:8">
      <c r="A76" s="224" t="s">
        <v>208</v>
      </c>
      <c r="B76" s="224"/>
      <c r="C76" s="225">
        <v>491.02300000000002</v>
      </c>
      <c r="D76" s="225">
        <v>555.28300000000002</v>
      </c>
      <c r="E76" s="225">
        <v>677.58600000000001</v>
      </c>
      <c r="F76" s="226">
        <v>833.88499999999999</v>
      </c>
      <c r="G76" s="225">
        <v>937.20639000000006</v>
      </c>
      <c r="H76" s="225">
        <v>1063.9883299999999</v>
      </c>
    </row>
    <row r="77" spans="1:8">
      <c r="A77" s="224" t="s">
        <v>209</v>
      </c>
      <c r="B77" s="224"/>
      <c r="C77" s="225">
        <v>351.67500000000001</v>
      </c>
      <c r="D77" s="225">
        <v>403.596</v>
      </c>
      <c r="E77" s="225">
        <v>514.10900000000004</v>
      </c>
      <c r="F77" s="226">
        <v>629.43413999999996</v>
      </c>
      <c r="G77" s="225">
        <v>699.63836000000003</v>
      </c>
      <c r="H77" s="225">
        <v>794.12714000000005</v>
      </c>
    </row>
    <row r="78" spans="1:8">
      <c r="A78" s="224" t="s">
        <v>210</v>
      </c>
      <c r="B78" s="224"/>
      <c r="C78" s="225">
        <v>2.5499999999999998</v>
      </c>
      <c r="D78" s="225">
        <v>2.91</v>
      </c>
      <c r="E78" s="225">
        <v>3.67</v>
      </c>
      <c r="F78" s="226">
        <v>4.44625</v>
      </c>
      <c r="G78" s="225">
        <v>4.9587500000000002</v>
      </c>
      <c r="H78" s="225">
        <v>5.65</v>
      </c>
    </row>
    <row r="79" spans="1:8">
      <c r="A79" s="224" t="s">
        <v>211</v>
      </c>
      <c r="B79" s="224"/>
      <c r="C79" s="225" t="s">
        <v>187</v>
      </c>
      <c r="D79" s="225">
        <v>0.2</v>
      </c>
      <c r="E79" s="225" t="s">
        <v>187</v>
      </c>
      <c r="F79" s="226">
        <v>0.24</v>
      </c>
      <c r="G79" s="225">
        <v>0.26600000000000001</v>
      </c>
      <c r="H79" s="225">
        <v>0.30429</v>
      </c>
    </row>
    <row r="80" spans="1:8">
      <c r="A80" s="224" t="s">
        <v>212</v>
      </c>
      <c r="B80" s="224"/>
      <c r="C80" s="225">
        <v>138.03700000000001</v>
      </c>
      <c r="D80" s="225">
        <v>138.905</v>
      </c>
      <c r="E80" s="225">
        <v>140.19800000000001</v>
      </c>
      <c r="F80" s="226">
        <v>140.53146000000001</v>
      </c>
      <c r="G80" s="225">
        <v>140.93145999999999</v>
      </c>
      <c r="H80" s="225">
        <v>140.46666999999999</v>
      </c>
    </row>
    <row r="81" spans="1:8">
      <c r="A81" s="415" t="s">
        <v>170</v>
      </c>
      <c r="B81" s="415"/>
      <c r="C81" s="415"/>
      <c r="D81" s="415"/>
      <c r="E81" s="415"/>
      <c r="F81" s="415"/>
      <c r="G81" s="415"/>
      <c r="H81" s="415"/>
    </row>
  </sheetData>
  <mergeCells count="12">
    <mergeCell ref="C1:G1"/>
    <mergeCell ref="C5:Q5"/>
    <mergeCell ref="F7:H7"/>
    <mergeCell ref="A41:H41"/>
    <mergeCell ref="A45:H45"/>
    <mergeCell ref="A73:H73"/>
    <mergeCell ref="A81:H81"/>
    <mergeCell ref="A50:H50"/>
    <mergeCell ref="A57:H57"/>
    <mergeCell ref="A62:H62"/>
    <mergeCell ref="A66:H66"/>
    <mergeCell ref="A70:H70"/>
  </mergeCells>
  <phoneticPr fontId="6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Drivers&gt;&gt;</vt:lpstr>
      <vt:lpstr>FCF &amp; Valuation</vt:lpstr>
      <vt:lpstr>Revenue Build</vt:lpstr>
      <vt:lpstr>Costs &amp; Expenses Build</vt:lpstr>
      <vt:lpstr>WACC Build</vt:lpstr>
      <vt:lpstr>Comps</vt:lpstr>
      <vt:lpstr>Financial Statements &gt;&gt;</vt:lpstr>
      <vt:lpstr>Income Statement + Forecast</vt:lpstr>
      <vt:lpstr>Cash Flow Statement</vt:lpstr>
      <vt:lpstr>Balance Sheet</vt:lpstr>
      <vt:lpstr>CFS</vt:lpstr>
      <vt:lpstr>IS</vt:lpstr>
      <vt:lpstr>BS</vt:lpstr>
      <vt:lpstr>Brinks Home Security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Donghua Yang</cp:lastModifiedBy>
  <cp:revision/>
  <dcterms:created xsi:type="dcterms:W3CDTF">2023-01-28T19:24:22Z</dcterms:created>
  <dcterms:modified xsi:type="dcterms:W3CDTF">2026-04-12T19:46:04Z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{5262CB91-1BB1-4E3D-81F4-E1CB41076B45}</vt:lpwstr>
  </property>
</Properties>
</file>